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70" firstSheet="2" activeTab="5"/>
  </bookViews>
  <sheets>
    <sheet name="INSTRUÇÕES" sheetId="1" r:id="rId1"/>
    <sheet name="INSUMOS - QUANTIDADES" sheetId="2" r:id="rId2"/>
    <sheet name="INSUMOS - PREÇOS" sheetId="3" r:id="rId3"/>
    <sheet name="CUSTOS ANUAIS" sheetId="4" r:id="rId4"/>
    <sheet name="RESUMO CUSTOS" sheetId="5" r:id="rId5"/>
    <sheet name="LUCRATIVIDADE" sheetId="6" r:id="rId6"/>
  </sheets>
  <definedNames>
    <definedName name="_xlnm.Print_Area" localSheetId="3">'CUSTOS ANUAIS'!$A$1:$J$161,'CUSTOS ANUAIS'!$K$7:$M$69</definedName>
    <definedName name="_xlnm.Print_Area" localSheetId="0">'INSTRUÇÕES'!$B$1:$B$17</definedName>
    <definedName name="_xlnm.Print_Area" localSheetId="2">'INSUMOS - PREÇOS'!$A$1:$H$79</definedName>
    <definedName name="_xlnm.Print_Area" localSheetId="1">'INSUMOS - QUANTIDADES'!$A$1:$H$175</definedName>
    <definedName name="_xlnm.Print_Area" localSheetId="5">'LUCRATIVIDADE'!$A$1:$F$33</definedName>
    <definedName name="_xlnm.Print_Area" localSheetId="4">'RESUMO CUSTOS'!$A$1:$L$21</definedName>
  </definedNames>
  <calcPr fullCalcOnLoad="1"/>
</workbook>
</file>

<file path=xl/comments2.xml><?xml version="1.0" encoding="utf-8"?>
<comments xmlns="http://schemas.openxmlformats.org/spreadsheetml/2006/main">
  <authors>
    <author>Windows</author>
  </authors>
  <commentList>
    <comment ref="B13" authorId="0">
      <text>
        <r>
          <rPr>
            <b/>
            <sz val="9"/>
            <rFont val="Tahoma"/>
            <family val="2"/>
          </rPr>
          <t>Insira o nome dos alimentos utilizados na criação</t>
        </r>
      </text>
    </comment>
    <comment ref="A112" authorId="0">
      <text>
        <r>
          <rPr>
            <b/>
            <sz val="9"/>
            <rFont val="Tahoma"/>
            <family val="2"/>
          </rPr>
          <t>Insira os nomes ou funções dos funcionários da criação</t>
        </r>
      </text>
    </comment>
    <comment ref="A106" authorId="0">
      <text>
        <r>
          <rPr>
            <b/>
            <sz val="9"/>
            <rFont val="Tahoma"/>
            <family val="2"/>
          </rPr>
          <t>Insira os nomes ou funções dos funcionários da criação</t>
        </r>
      </text>
    </comment>
    <comment ref="A132" authorId="0">
      <text>
        <r>
          <rPr>
            <b/>
            <sz val="9"/>
            <rFont val="Tahoma"/>
            <family val="2"/>
          </rPr>
          <t>Insira os nomes dos equipamentos utilizados na criação</t>
        </r>
      </text>
    </comment>
    <comment ref="F130" authorId="0">
      <text>
        <r>
          <rPr>
            <b/>
            <sz val="9"/>
            <rFont val="Tahoma"/>
            <family val="2"/>
          </rPr>
          <t>Para equipamentos que têm sua vida útil medida em horas, como trator e demais implementos.</t>
        </r>
      </text>
    </comment>
    <comment ref="F137" authorId="0">
      <text>
        <r>
          <rPr>
            <b/>
            <sz val="9"/>
            <rFont val="Tahoma"/>
            <family val="2"/>
          </rPr>
          <t>Para equipamentos que, assim como as instalações, têm sua vida útil medida em anos. Exemplos: balanças, geladeiras, cochos, etc.</t>
        </r>
      </text>
    </comment>
    <comment ref="D153" authorId="0">
      <text>
        <r>
          <rPr>
            <b/>
            <sz val="9"/>
            <rFont val="Tahoma"/>
            <family val="2"/>
          </rPr>
          <t>Porcentagem do valor do equipamento ou instalação que é usada para consertos e manutenções do bem ao longo do ano.</t>
        </r>
      </text>
    </comment>
  </commentList>
</comments>
</file>

<file path=xl/sharedStrings.xml><?xml version="1.0" encoding="utf-8"?>
<sst xmlns="http://schemas.openxmlformats.org/spreadsheetml/2006/main" count="660" uniqueCount="392">
  <si>
    <t>Autores da planilha: Camila Raineri e Augusto Hauber Gameiro</t>
  </si>
  <si>
    <t>E-mail para contato: lae@usp.br</t>
  </si>
  <si>
    <t>EXPLICAÇÕES E INSTRUÇÕES DE USO DA PLANILHA DE CÁLCULO DE CUSTOS</t>
  </si>
  <si>
    <t xml:space="preserve">
Os dados devem ser inseridos nas células de cor verde claro, com o texto em negrito. 
</t>
  </si>
  <si>
    <r>
      <rPr>
        <u val="single"/>
        <sz val="13"/>
        <color indexed="8"/>
        <rFont val="Calibri"/>
        <family val="2"/>
      </rPr>
      <t>Planilha "INSUMOS - QUANTIDADES"</t>
    </r>
    <r>
      <rPr>
        <sz val="13"/>
        <color indexed="8"/>
        <rFont val="Calibri"/>
        <family val="2"/>
      </rPr>
      <t xml:space="preserve">
Na planilha “INSUMOS - QUANTIDADES” são inseridos os dados referentes às quantidades de alimentos, vacinas, medicamentos, mão de obra, medidas de instalações, pastagens, capineiras e cercas, fertilizantes e combustíveis empregados. Também constam nesta planilha os valores residuais dos equipamentos e implementos utilizados na criação, bem como seu tempo de utilização.
No item “Alimentação”, os nomes dos alimentos fornecidos podem ser modificados de acordo com a necessidade da propriedade. O “Período de fornecimento” refere-se ao número de dias por ciclo produtivo em que aquela categoria animal recebe cada alimento. </t>
    </r>
  </si>
  <si>
    <r>
      <rPr>
        <u val="single"/>
        <sz val="13"/>
        <color indexed="8"/>
        <rFont val="Calibri"/>
        <family val="2"/>
      </rPr>
      <t>Planilha "INSUMOS - PREÇOS"</t>
    </r>
    <r>
      <rPr>
        <sz val="13"/>
        <color indexed="8"/>
        <rFont val="Calibri"/>
        <family val="2"/>
      </rPr>
      <t xml:space="preserve">
Os preços de todos os insumos utilizados são inseridos na planilha “INSUMOS – PREÇOS”.
No item “Animais”, “Fêmeas para expansão” refere-se às fêmeas adquiridas ou retidas da própria criação para expansão do rebanho. Seu preço deve corresponder ao valor de mercado. 
O valor dos “Equipamentos” deve corresponder ao valor de mercado dos equipamentos de modelos e demais características similares aos empregados na criação.
No item “Mão de obra”, os valores dos salários inseridos devem incluir os encargos sociais.
O valor do “Arrendamento” deve ser preenchido com a melhor alternativa da região (exemplos: cana de açúcar, gado de corte, etc.), mesmo que a área não seja arrendada. Ele é importante para calcular o custo de oportunidade da terra e o custo do pasto consumido pelos animais.
Os “Impostos e taxas variáveis” são aqueles dependentes da quantidade de animais. São exemplos o ICMS e as GTA’s. Já os “Impostos e taxas fixos” independem do número de ovinos, como o ITR e a contribuição sindical. Importante: os fixos devem ser divididos entre as demais atividades conduzidas na propriedade além da ovinocultura, como plantações e criações de outros animais.
Os “Juros sobre capital imobilizado” referem-se ao capital para investimento.  Os “Juros sobre capital de giro” referem-se ao capital para custeio. Mesmo se os capitais forem próprios, deve-se atribuir um valor a cada um deles. Esse valor pode ser o da SELIC, da poupança, ou o que o proprietário preferir. Caso tenha sido feito financiamento, como o FEAP por exemplo, os juros adotados devem ser o dessa transação.
</t>
    </r>
  </si>
  <si>
    <r>
      <rPr>
        <u val="single"/>
        <sz val="13"/>
        <color indexed="8"/>
        <rFont val="Calibri"/>
        <family val="2"/>
      </rPr>
      <t>Planilha "CUSTOS ANUAIS"</t>
    </r>
    <r>
      <rPr>
        <sz val="13"/>
        <color indexed="8"/>
        <rFont val="Calibri"/>
        <family val="2"/>
      </rPr>
      <t xml:space="preserve">
A planilha “CUSTOS ANUAIS” informa os custos de produção de cordeiros, na forma do montante anual, do custo por cabeça, por kg vivo e por kg de carcaça. Nela, os únicos dados inseridos são coeficientes zootécnicos. Através deles, é possível simular o comportamento do custo decorrente da alteração dos índices técnicos da criação.
No quadro “Coeficientes zootécnicos”, o item “N° de Fêmeas para expansão” refere-se às fêmeas adquiridas ou retidas da própria criação para expansão do rebanho. As fêmeas retidas ou adquiridas apenas para reposição, mantendo-se o número inicial de animais, não devem ser contabilizadas.</t>
    </r>
  </si>
  <si>
    <r>
      <rPr>
        <u val="single"/>
        <sz val="13"/>
        <color indexed="8"/>
        <rFont val="Calibri"/>
        <family val="2"/>
      </rPr>
      <t>Planilha “GRÁFICOS”</t>
    </r>
    <r>
      <rPr>
        <sz val="13"/>
        <color indexed="8"/>
        <rFont val="Calibri"/>
        <family val="2"/>
      </rPr>
      <t xml:space="preserve">
A planilha “GRÁFICOS” contém uma demonstração gráfica das proporções dos custos de diferentes tipos – fixos, variáveis e renda dos fatores.</t>
    </r>
  </si>
  <si>
    <r>
      <rPr>
        <u val="single"/>
        <sz val="13"/>
        <color indexed="8"/>
        <rFont val="Calibri"/>
        <family val="2"/>
      </rPr>
      <t>Planilha "RENTABILIDADE"</t>
    </r>
    <r>
      <rPr>
        <sz val="13"/>
        <color indexed="8"/>
        <rFont val="Calibri"/>
        <family val="2"/>
      </rPr>
      <t xml:space="preserve">
A planilha “RENTABILIDADE” informa ao produtor o lucro efetivo que está obtendo da Ovinocultura. Para isso, o criador deve informar a quantidade de animais de diferentes categorias vendidos – cordeiros e borregas para abate e reprodução, carneiros e ovelhas para descarte e reprodução.
No quadro final, o item “Lucro econômico da ovinocultura” demonstra o lucro no caso do capital ter sido financiado, pois desconta o desembolso da remuneração do capital. Já o item “Renda total ao produtor” apresenta o lucro no caso do capital aplicado ter sido próprio, pois é o próprio criador que está embolsando a remuneração do capital.</t>
    </r>
  </si>
  <si>
    <t>ALIMENTOS POR ANO</t>
  </si>
  <si>
    <t>Categoria e situação fisiológica</t>
  </si>
  <si>
    <t>Alimento</t>
  </si>
  <si>
    <t>Período de fornecimento                       (dias por ciclo)</t>
  </si>
  <si>
    <t>Quantidade fornecida (kg/dia)</t>
  </si>
  <si>
    <t>Período de fornecimento</t>
  </si>
  <si>
    <t>Períodos e idades para referência</t>
  </si>
  <si>
    <t>Cordeiros</t>
  </si>
  <si>
    <t xml:space="preserve">   Até o desmame</t>
  </si>
  <si>
    <t>Sal mineral</t>
  </si>
  <si>
    <t>Idade ao desmame</t>
  </si>
  <si>
    <t>Pastagem</t>
  </si>
  <si>
    <t>Idade ao abate</t>
  </si>
  <si>
    <t>Outro alimento</t>
  </si>
  <si>
    <t>Duração início de gestação</t>
  </si>
  <si>
    <t>Cana de açúcar</t>
  </si>
  <si>
    <t>Duração fim de gestação</t>
  </si>
  <si>
    <t>Duração da lactação</t>
  </si>
  <si>
    <t>Duração estação de monta</t>
  </si>
  <si>
    <t>Concentrado creep</t>
  </si>
  <si>
    <t xml:space="preserve">   Após o desmame</t>
  </si>
  <si>
    <t>Concentrado terminação</t>
  </si>
  <si>
    <t>Ovelhas</t>
  </si>
  <si>
    <t xml:space="preserve">   Início de gestação</t>
  </si>
  <si>
    <t>Concentrado adultos</t>
  </si>
  <si>
    <t xml:space="preserve">   Fim de gestação</t>
  </si>
  <si>
    <t xml:space="preserve">   Lactação</t>
  </si>
  <si>
    <t xml:space="preserve">   Solteiras</t>
  </si>
  <si>
    <t>Reprodutores</t>
  </si>
  <si>
    <t xml:space="preserve">   Em monta</t>
  </si>
  <si>
    <t xml:space="preserve">   Em manutenção</t>
  </si>
  <si>
    <t>Observações:</t>
  </si>
  <si>
    <r>
      <t>1. A soma dos dias "</t>
    </r>
    <r>
      <rPr>
        <b/>
        <u val="single"/>
        <sz val="13"/>
        <color indexed="57"/>
        <rFont val="Calibri"/>
        <family val="2"/>
      </rPr>
      <t>até o desmame</t>
    </r>
    <r>
      <rPr>
        <b/>
        <sz val="13"/>
        <color indexed="57"/>
        <rFont val="Calibri"/>
        <family val="2"/>
      </rPr>
      <t>" e "</t>
    </r>
    <r>
      <rPr>
        <b/>
        <u val="single"/>
        <sz val="13"/>
        <color indexed="57"/>
        <rFont val="Calibri"/>
        <family val="2"/>
      </rPr>
      <t>após o desmame</t>
    </r>
    <r>
      <rPr>
        <b/>
        <sz val="13"/>
        <color indexed="57"/>
        <rFont val="Calibri"/>
        <family val="2"/>
      </rPr>
      <t>" deve ser igual à "IDADE AO ABATE" informada na seção "COEFICIENTES ZOOTÉCNICOS", presente na planilha "CUSTOS ANUAIS".</t>
    </r>
  </si>
  <si>
    <r>
      <t xml:space="preserve">2. A soma dos dias em </t>
    </r>
    <r>
      <rPr>
        <b/>
        <u val="single"/>
        <sz val="13"/>
        <color indexed="57"/>
        <rFont val="Calibri"/>
        <family val="2"/>
      </rPr>
      <t>início de gestação</t>
    </r>
    <r>
      <rPr>
        <b/>
        <sz val="13"/>
        <color indexed="57"/>
        <rFont val="Calibri"/>
        <family val="2"/>
      </rPr>
      <t>,</t>
    </r>
    <r>
      <rPr>
        <b/>
        <u val="single"/>
        <sz val="13"/>
        <color indexed="57"/>
        <rFont val="Calibri"/>
        <family val="2"/>
      </rPr>
      <t xml:space="preserve"> fim de gestação</t>
    </r>
    <r>
      <rPr>
        <b/>
        <sz val="13"/>
        <color indexed="57"/>
        <rFont val="Calibri"/>
        <family val="2"/>
      </rPr>
      <t xml:space="preserve">, </t>
    </r>
    <r>
      <rPr>
        <b/>
        <u val="single"/>
        <sz val="13"/>
        <color indexed="57"/>
        <rFont val="Calibri"/>
        <family val="2"/>
      </rPr>
      <t>lactação</t>
    </r>
    <r>
      <rPr>
        <b/>
        <sz val="13"/>
        <color indexed="57"/>
        <rFont val="Calibri"/>
        <family val="2"/>
      </rPr>
      <t xml:space="preserve"> e como </t>
    </r>
    <r>
      <rPr>
        <b/>
        <u val="single"/>
        <sz val="13"/>
        <color indexed="57"/>
        <rFont val="Calibri"/>
        <family val="2"/>
      </rPr>
      <t>solteira</t>
    </r>
    <r>
      <rPr>
        <b/>
        <sz val="13"/>
        <color indexed="57"/>
        <rFont val="Calibri"/>
        <family val="2"/>
      </rPr>
      <t xml:space="preserve"> deve ser igual ao "INTERVALO ENTRE PARTOS" informado na seção "COEFICIENTES ZOOTÉCNICOS", presente na planilha "CUSTOS ANUAIS".</t>
    </r>
  </si>
  <si>
    <t>MEDICAMENTOS</t>
  </si>
  <si>
    <t>Dose/cab/ciclo</t>
  </si>
  <si>
    <t>ml/dose</t>
  </si>
  <si>
    <t>Ciclos/ano</t>
  </si>
  <si>
    <t>Doses ou ml/cab/ano</t>
  </si>
  <si>
    <t>Vacina contra Clostridioses</t>
  </si>
  <si>
    <t>doses/cab/ano</t>
  </si>
  <si>
    <t xml:space="preserve">   Cordeiros</t>
  </si>
  <si>
    <t>-</t>
  </si>
  <si>
    <t xml:space="preserve">   Matrizes</t>
  </si>
  <si>
    <t xml:space="preserve">   Reprodutores</t>
  </si>
  <si>
    <t>Outra vacina</t>
  </si>
  <si>
    <t>Anti-helmínticos</t>
  </si>
  <si>
    <t>ml/cab/ano</t>
  </si>
  <si>
    <t>Outros itens</t>
  </si>
  <si>
    <t xml:space="preserve">        Reprodutores</t>
  </si>
  <si>
    <t>MANEJO REPRODUTIVO</t>
  </si>
  <si>
    <t>Exame/animal/ciclo</t>
  </si>
  <si>
    <t>Exames/animal/ano</t>
  </si>
  <si>
    <t>Exame andrológico</t>
  </si>
  <si>
    <t>Diagnóstico de gestação</t>
  </si>
  <si>
    <t>MÃO DE OBRA</t>
  </si>
  <si>
    <t>Tipo</t>
  </si>
  <si>
    <t>Horas na ovinocultura/dia</t>
  </si>
  <si>
    <t>Dias na ovinocultura/ano</t>
  </si>
  <si>
    <t>Permanente</t>
  </si>
  <si>
    <t xml:space="preserve">   Funcionário 1</t>
  </si>
  <si>
    <t xml:space="preserve">   Funcionário 2</t>
  </si>
  <si>
    <t xml:space="preserve">   Funcionário 3</t>
  </si>
  <si>
    <t xml:space="preserve">   Funcionário 4</t>
  </si>
  <si>
    <t xml:space="preserve">   Funcionário 5</t>
  </si>
  <si>
    <t>Diarista</t>
  </si>
  <si>
    <t xml:space="preserve">   Funcionário 6</t>
  </si>
  <si>
    <t xml:space="preserve">   Funcionário 7</t>
  </si>
  <si>
    <t xml:space="preserve">   Funcionário 8</t>
  </si>
  <si>
    <t xml:space="preserve">   Funcionário 9</t>
  </si>
  <si>
    <t xml:space="preserve">   Funcionário 10</t>
  </si>
  <si>
    <t>ÁREAS E MEDIDAS</t>
  </si>
  <si>
    <t>Unidade</t>
  </si>
  <si>
    <t>Áreas/medidas</t>
  </si>
  <si>
    <t>Pastagens para ovinos</t>
  </si>
  <si>
    <t>ha</t>
  </si>
  <si>
    <t>Capineiras para ovinos</t>
  </si>
  <si>
    <t>Instalações</t>
  </si>
  <si>
    <t>m²</t>
  </si>
  <si>
    <t>Cercas</t>
  </si>
  <si>
    <t>m linear</t>
  </si>
  <si>
    <t>TEMPO DE UTILIZAÇÃO, VIDA ÚTIL E VALOR RESIDUAL</t>
  </si>
  <si>
    <t>CV's</t>
  </si>
  <si>
    <t>Horas utilizadas por dia</t>
  </si>
  <si>
    <t>Horas utilizadas por mês</t>
  </si>
  <si>
    <t>Vida útil (horas)</t>
  </si>
  <si>
    <t>Valor residual (%)</t>
  </si>
  <si>
    <t>Valor residual (R$)</t>
  </si>
  <si>
    <t>Trator</t>
  </si>
  <si>
    <t>Carreta 4 rodas</t>
  </si>
  <si>
    <t>Ensiladeira</t>
  </si>
  <si>
    <t>Equipamento 1</t>
  </si>
  <si>
    <t>Equipamento 2</t>
  </si>
  <si>
    <t>Equipamento 3</t>
  </si>
  <si>
    <t>Vida útil (anos)</t>
  </si>
  <si>
    <t>Balança</t>
  </si>
  <si>
    <t>Equipamento 5</t>
  </si>
  <si>
    <t>Equipamento 6</t>
  </si>
  <si>
    <t>Equipamento 7</t>
  </si>
  <si>
    <t>Equipamento 8</t>
  </si>
  <si>
    <t>Equipamento 9</t>
  </si>
  <si>
    <t>Vida útil (meses)</t>
  </si>
  <si>
    <t>Carneiro reprodutor</t>
  </si>
  <si>
    <t>Fêmeas para expansão</t>
  </si>
  <si>
    <t>MANUTENÇÃO DE EQUIPAMENTOS E INSTALAÇÕES</t>
  </si>
  <si>
    <t>Taxa de manutenção anual</t>
  </si>
  <si>
    <t>Equipamentos</t>
  </si>
  <si>
    <t>APLICAÇÃO DE FERTILIZANTES</t>
  </si>
  <si>
    <t>Toneladas aplicadas/ano</t>
  </si>
  <si>
    <t>No. aplicações/ano</t>
  </si>
  <si>
    <t>Pastagens</t>
  </si>
  <si>
    <t xml:space="preserve">    Esterco</t>
  </si>
  <si>
    <t>t/ano</t>
  </si>
  <si>
    <t xml:space="preserve">    Calcário</t>
  </si>
  <si>
    <t xml:space="preserve">    Fertilizante</t>
  </si>
  <si>
    <t>Capineiras</t>
  </si>
  <si>
    <t>ENERGIA E COMBUSTÍVEIS</t>
  </si>
  <si>
    <t>Unidades</t>
  </si>
  <si>
    <t>Quantias</t>
  </si>
  <si>
    <t>Diesel (exceto manutenção pastos e capineiras)</t>
  </si>
  <si>
    <t>Litros/mês</t>
  </si>
  <si>
    <t>Energia elétrica</t>
  </si>
  <si>
    <t>KWh/mês</t>
  </si>
  <si>
    <t>PREÇOS DOS INSUMOS UTILIZADOS NA CRIAÇÃO</t>
  </si>
  <si>
    <t>Insumos</t>
  </si>
  <si>
    <t>Observação</t>
  </si>
  <si>
    <t>Preço</t>
  </si>
  <si>
    <t>Aprisco</t>
  </si>
  <si>
    <r>
      <t>R$/m</t>
    </r>
    <r>
      <rPr>
        <sz val="13"/>
        <color indexed="8"/>
        <rFont val="Calibri"/>
        <family val="2"/>
      </rPr>
      <t>²</t>
    </r>
  </si>
  <si>
    <t>R$/m linear</t>
  </si>
  <si>
    <t xml:space="preserve">Equipamentos </t>
  </si>
  <si>
    <t xml:space="preserve">Trator </t>
  </si>
  <si>
    <t>R$/unidade</t>
  </si>
  <si>
    <t>Animais</t>
  </si>
  <si>
    <t>Fêmeas para reprodução</t>
  </si>
  <si>
    <t>Adultas</t>
  </si>
  <si>
    <t>Adultos</t>
  </si>
  <si>
    <t>Jovens</t>
  </si>
  <si>
    <t>Mão de obra permanente</t>
  </si>
  <si>
    <t>R$/mês</t>
  </si>
  <si>
    <t>Mão de obra diarista</t>
  </si>
  <si>
    <t>R$/dia</t>
  </si>
  <si>
    <t>Energia e combustíveis</t>
  </si>
  <si>
    <t>Diesel</t>
  </si>
  <si>
    <t>R$/litro</t>
  </si>
  <si>
    <t>Energia Elétrica</t>
  </si>
  <si>
    <t>R$/KWh</t>
  </si>
  <si>
    <t>Calcário e fertilizantes</t>
  </si>
  <si>
    <t>Esterco</t>
  </si>
  <si>
    <t>R$/t</t>
  </si>
  <si>
    <t>Calcário</t>
  </si>
  <si>
    <t>Fertilizantes</t>
  </si>
  <si>
    <t>Volumosos</t>
  </si>
  <si>
    <t>Sal Mineral</t>
  </si>
  <si>
    <t>R$/kg</t>
  </si>
  <si>
    <t>Concentrados</t>
  </si>
  <si>
    <t>Milho</t>
  </si>
  <si>
    <t>Soja</t>
  </si>
  <si>
    <t>Sanidade</t>
  </si>
  <si>
    <t>Vacina clostridioses</t>
  </si>
  <si>
    <t>R$/dose</t>
  </si>
  <si>
    <t>Vermífugo</t>
  </si>
  <si>
    <t>R$/ml</t>
  </si>
  <si>
    <t>Outros</t>
  </si>
  <si>
    <t>Manejo reprodutivo</t>
  </si>
  <si>
    <t>R$/exame/cab</t>
  </si>
  <si>
    <t>Arrendamento</t>
  </si>
  <si>
    <t>Valor na região</t>
  </si>
  <si>
    <t>R$/ha/ano</t>
  </si>
  <si>
    <t>Impostos e taxas variáveis</t>
  </si>
  <si>
    <t>Impostos (ICMS, entre outros)</t>
  </si>
  <si>
    <t>R$/ano</t>
  </si>
  <si>
    <t>Taxas (GTAs, entre outros)</t>
  </si>
  <si>
    <t>Impostos e taxas fixos</t>
  </si>
  <si>
    <t>Impostos (ITR, entre outros)</t>
  </si>
  <si>
    <t>Taxas (sindicato, entre outros)</t>
  </si>
  <si>
    <t>Juros sobre capital imobilizado</t>
  </si>
  <si>
    <t>% ao ano</t>
  </si>
  <si>
    <t>Juros sobre capital de giro</t>
  </si>
  <si>
    <t>CUSTOS ANUAIS DE PRODUÇÃO DE CORDEIROS DE CORTE</t>
  </si>
  <si>
    <t>A -</t>
  </si>
  <si>
    <t>CUSTOS VARIÁVEIS</t>
  </si>
  <si>
    <t>Quantidade</t>
  </si>
  <si>
    <t>Custo</t>
  </si>
  <si>
    <t>COEFICIENTES ZOOTÉCNICOS</t>
  </si>
  <si>
    <t xml:space="preserve">I - </t>
  </si>
  <si>
    <t>DESPESAS DE CUSTEIO DA CRIAÇÃO</t>
  </si>
  <si>
    <t>1.</t>
  </si>
  <si>
    <t>Alimentação</t>
  </si>
  <si>
    <t>No. de ovelhas (cab)</t>
  </si>
  <si>
    <t>1.1.</t>
  </si>
  <si>
    <t>No. de carneiros (cab)</t>
  </si>
  <si>
    <t>1.1.1.</t>
  </si>
  <si>
    <t>kg/cab/ano</t>
  </si>
  <si>
    <t>Cordeiros disponíveis por ano (cab)</t>
  </si>
  <si>
    <t>1.1.2.</t>
  </si>
  <si>
    <t xml:space="preserve">Volumosos </t>
  </si>
  <si>
    <r>
      <t xml:space="preserve">No. de fêmeas adquiridas ou retidas </t>
    </r>
    <r>
      <rPr>
        <b/>
        <u val="single"/>
        <sz val="13"/>
        <color indexed="9"/>
        <rFont val="Calibri"/>
        <family val="2"/>
      </rPr>
      <t xml:space="preserve">para expansão </t>
    </r>
    <r>
      <rPr>
        <b/>
        <sz val="13"/>
        <color indexed="9"/>
        <rFont val="Calibri"/>
        <family val="2"/>
      </rPr>
      <t>(cab)</t>
    </r>
  </si>
  <si>
    <t>1.1.2.1.</t>
  </si>
  <si>
    <t>Taxa de descarte anual de matrizes</t>
  </si>
  <si>
    <t>1.1.2.2.</t>
  </si>
  <si>
    <t>Prolificidade (%)</t>
  </si>
  <si>
    <t>1.1.2.3.</t>
  </si>
  <si>
    <t>Intervalo entre partos (mês)</t>
  </si>
  <si>
    <t>1.1.2.4.</t>
  </si>
  <si>
    <t>Taxa de prenhez</t>
  </si>
  <si>
    <t>1.1.2.5.</t>
  </si>
  <si>
    <t>Sobrevivência cordeiros</t>
  </si>
  <si>
    <t>1.1.3.</t>
  </si>
  <si>
    <t>Idade ao desmame (dias)</t>
  </si>
  <si>
    <t>1.1.4.</t>
  </si>
  <si>
    <t>Concentrado confinamento</t>
  </si>
  <si>
    <t>Peso de venda do cordeiro (kg)</t>
  </si>
  <si>
    <t>1.2.</t>
  </si>
  <si>
    <t>Matrizes</t>
  </si>
  <si>
    <t>Idade ao abate (dias)</t>
  </si>
  <si>
    <t>1.2.1.</t>
  </si>
  <si>
    <t>Rendimento de carcaça cordeiro (%)</t>
  </si>
  <si>
    <t>1.2.2.</t>
  </si>
  <si>
    <t>1.2.2.1.</t>
  </si>
  <si>
    <t>1.2.2.2.</t>
  </si>
  <si>
    <t>1.2.2.3.</t>
  </si>
  <si>
    <t>1.2.2.4.</t>
  </si>
  <si>
    <t>1.2.2.5.</t>
  </si>
  <si>
    <t>1.2.3.</t>
  </si>
  <si>
    <t>1.3.</t>
  </si>
  <si>
    <t>1.3.1.</t>
  </si>
  <si>
    <t>1.3.2.</t>
  </si>
  <si>
    <t>1.3.2.1.</t>
  </si>
  <si>
    <t>1.3.2.2.</t>
  </si>
  <si>
    <t>1.3.2.3.</t>
  </si>
  <si>
    <t>1.3.2.4.</t>
  </si>
  <si>
    <t>1.3.2.5.</t>
  </si>
  <si>
    <t>1.3.3.</t>
  </si>
  <si>
    <t>Subtotal alimentação</t>
  </si>
  <si>
    <t>2.</t>
  </si>
  <si>
    <t>Despesas veterinárias</t>
  </si>
  <si>
    <t>2.1.</t>
  </si>
  <si>
    <t>3.1.1.</t>
  </si>
  <si>
    <t>Vermífugos</t>
  </si>
  <si>
    <t>3.1.2.</t>
  </si>
  <si>
    <t>Vacina clostridiose</t>
  </si>
  <si>
    <t>dose/cab/ano</t>
  </si>
  <si>
    <t>3.1.3.</t>
  </si>
  <si>
    <t>3.1.4.</t>
  </si>
  <si>
    <t>2.2.</t>
  </si>
  <si>
    <t>3.2.1.</t>
  </si>
  <si>
    <t>3.2.2.</t>
  </si>
  <si>
    <t>3.2.3.</t>
  </si>
  <si>
    <t>3.2.4.</t>
  </si>
  <si>
    <t>3.2.5.</t>
  </si>
  <si>
    <t>exame/cab/ano</t>
  </si>
  <si>
    <t>2.3.</t>
  </si>
  <si>
    <t>3.3.1.</t>
  </si>
  <si>
    <t>3.3.2.</t>
  </si>
  <si>
    <t>3.3.3.</t>
  </si>
  <si>
    <t>3.3.4.</t>
  </si>
  <si>
    <t>3.3.5.</t>
  </si>
  <si>
    <t>Subtotal despesas veterinárias</t>
  </si>
  <si>
    <t>Subtotal - custeio da criação</t>
  </si>
  <si>
    <t>II -</t>
  </si>
  <si>
    <t>OUTRAS DESPESAS VARIÁVEIS</t>
  </si>
  <si>
    <t>Impostos</t>
  </si>
  <si>
    <t>Taxas</t>
  </si>
  <si>
    <t>Subtotal - despesas financeiras</t>
  </si>
  <si>
    <t>SUBTOTAL CUSTOS VARIÁVEIS</t>
  </si>
  <si>
    <t xml:space="preserve">B - </t>
  </si>
  <si>
    <t>CUSTOS FIXOS OPERACIONAIS</t>
  </si>
  <si>
    <t>III -</t>
  </si>
  <si>
    <t>horas/ano</t>
  </si>
  <si>
    <t>1.4.</t>
  </si>
  <si>
    <t>1.5.</t>
  </si>
  <si>
    <t>Mão de obra temporária</t>
  </si>
  <si>
    <t>2.4.</t>
  </si>
  <si>
    <t>2.5.</t>
  </si>
  <si>
    <t>Subtotal - mão de obra</t>
  </si>
  <si>
    <t>IV -</t>
  </si>
  <si>
    <t>litros/ano</t>
  </si>
  <si>
    <t>KWh/ano</t>
  </si>
  <si>
    <t>Subtotal - energia e combustíveis</t>
  </si>
  <si>
    <t>V -</t>
  </si>
  <si>
    <t>DEPRECIAÇÕES</t>
  </si>
  <si>
    <t>Benfeitorias e instalações</t>
  </si>
  <si>
    <r>
      <t>m</t>
    </r>
    <r>
      <rPr>
        <sz val="13"/>
        <color indexed="8"/>
        <rFont val="Calibri"/>
        <family val="2"/>
      </rPr>
      <t>²</t>
    </r>
  </si>
  <si>
    <t>Máquinas e implementos</t>
  </si>
  <si>
    <t>2.6.</t>
  </si>
  <si>
    <t>2.7.</t>
  </si>
  <si>
    <t>2.8.</t>
  </si>
  <si>
    <t>2.9.</t>
  </si>
  <si>
    <t>2.10.</t>
  </si>
  <si>
    <t>2.11.</t>
  </si>
  <si>
    <t>2.12.</t>
  </si>
  <si>
    <t>3.</t>
  </si>
  <si>
    <t>Machos reprodutores</t>
  </si>
  <si>
    <t>meses</t>
  </si>
  <si>
    <t>4.</t>
  </si>
  <si>
    <t>Fêmeas para expansão de rebanho</t>
  </si>
  <si>
    <t>Subtotal - depreciações</t>
  </si>
  <si>
    <t>VI -</t>
  </si>
  <si>
    <t>MANUTENÇÃO E CONSERVAÇÃO</t>
  </si>
  <si>
    <t>Manutenção de máquinas e equipamentos</t>
  </si>
  <si>
    <t>1.6.</t>
  </si>
  <si>
    <t>1.7.</t>
  </si>
  <si>
    <t>anos</t>
  </si>
  <si>
    <t>1.8.</t>
  </si>
  <si>
    <t>1.9.</t>
  </si>
  <si>
    <t>1.10.</t>
  </si>
  <si>
    <t>1.11.</t>
  </si>
  <si>
    <t>1.12.</t>
  </si>
  <si>
    <t>Instalações benfeitorias</t>
  </si>
  <si>
    <t>m lineares</t>
  </si>
  <si>
    <t>Manutenção de pastos e capineiras</t>
  </si>
  <si>
    <t>3.1.</t>
  </si>
  <si>
    <t>Pastos</t>
  </si>
  <si>
    <t>ton/ano</t>
  </si>
  <si>
    <t>3.2.</t>
  </si>
  <si>
    <t>Subtotal - manutenções</t>
  </si>
  <si>
    <t>VII -</t>
  </si>
  <si>
    <t>OUTRAS DESPESAS FIXAS</t>
  </si>
  <si>
    <t>Subtotal - outras despesas fixas</t>
  </si>
  <si>
    <t>SUBTOTAL CUSTOS FIXOS OPERACIONAIS</t>
  </si>
  <si>
    <t xml:space="preserve">C - </t>
  </si>
  <si>
    <t>CUSTO OPERACIONAL (A + B)</t>
  </si>
  <si>
    <t>VIII -</t>
  </si>
  <si>
    <t>RENDA DE FATORES</t>
  </si>
  <si>
    <t>Remuneração sobre o capital imobilizado</t>
  </si>
  <si>
    <t>Remuneração sobre capital - instalações</t>
  </si>
  <si>
    <t>Remuneração sobre capital - cercas</t>
  </si>
  <si>
    <t>Remuneração sobre capital - equipamentos</t>
  </si>
  <si>
    <t>Remuneração sobre capital - reprodutores</t>
  </si>
  <si>
    <t>Remuneração sobre capital - fêmeas para expansão</t>
  </si>
  <si>
    <t>Remuneração sobre o capital de giro</t>
  </si>
  <si>
    <t>Terra (custo de oportunidade do arrendamento)</t>
  </si>
  <si>
    <t>Subtotal - renda de fatores</t>
  </si>
  <si>
    <t xml:space="preserve">D - </t>
  </si>
  <si>
    <t>CUSTO TOTAL (C + VIII)</t>
  </si>
  <si>
    <t>CUSTO TOTAL POR CORDEIRO (CABEÇA)</t>
  </si>
  <si>
    <t>CUSTO TOTAL POR CORDEIRO (KG VIVO)</t>
  </si>
  <si>
    <t>CUSTO TOTAL POR CORDEIRO (KG DE CARCAÇA)</t>
  </si>
  <si>
    <t>Tipo de custo</t>
  </si>
  <si>
    <t>% do custo total</t>
  </si>
  <si>
    <t>Variáveis</t>
  </si>
  <si>
    <t>Fixos operacionais</t>
  </si>
  <si>
    <t>Renda dos fatores</t>
  </si>
  <si>
    <t>Item de custo</t>
  </si>
  <si>
    <t>% do total</t>
  </si>
  <si>
    <t>Mão de obra</t>
  </si>
  <si>
    <t>Depreciações</t>
  </si>
  <si>
    <t>Manutenções</t>
  </si>
  <si>
    <t>Manejo sanitário</t>
  </si>
  <si>
    <t>Energia e Combustíveis</t>
  </si>
  <si>
    <t>Impostos e taxas</t>
  </si>
  <si>
    <t>TOTAL</t>
  </si>
  <si>
    <t>RECEITAS DA OVINOCULTURA</t>
  </si>
  <si>
    <t>REFERÊNCIA - QUANTIDADES DISPONÍVEIS POR ANO</t>
  </si>
  <si>
    <t>Vendas</t>
  </si>
  <si>
    <t>Valor unitário</t>
  </si>
  <si>
    <t>Total</t>
  </si>
  <si>
    <t xml:space="preserve">    Abate</t>
  </si>
  <si>
    <t xml:space="preserve">   Machos (cabeças)</t>
  </si>
  <si>
    <t xml:space="preserve">    Reprodução</t>
  </si>
  <si>
    <t xml:space="preserve">   Machos (kg vivo)</t>
  </si>
  <si>
    <t>Borregas</t>
  </si>
  <si>
    <t xml:space="preserve">   Machos (kg carcaça)</t>
  </si>
  <si>
    <t xml:space="preserve">   Fêmeas (cabeças)</t>
  </si>
  <si>
    <t xml:space="preserve">    Mantidas para expansão</t>
  </si>
  <si>
    <t xml:space="preserve">   Fêmeas (kg vivo)</t>
  </si>
  <si>
    <t xml:space="preserve">   Fêmeas (kg carcaça)</t>
  </si>
  <si>
    <t>Ovelhas de descarte</t>
  </si>
  <si>
    <t xml:space="preserve">    Descarte</t>
  </si>
  <si>
    <t>Carneiros</t>
  </si>
  <si>
    <t>Total:</t>
  </si>
  <si>
    <t>Receita média por kg de cordeiro produzido:</t>
  </si>
  <si>
    <t>Descarte de reprodutores</t>
  </si>
  <si>
    <t>Cordeiros para abate</t>
  </si>
  <si>
    <t>R$/kg vivo</t>
  </si>
  <si>
    <t>Animais para reprodução</t>
  </si>
  <si>
    <t>Custo operacional (fixo + variável)</t>
  </si>
  <si>
    <t xml:space="preserve">Renda dos fatores (remuneração do capital e da terra) </t>
  </si>
  <si>
    <t>Custo total (custo operacional + renda dos fatores)</t>
  </si>
  <si>
    <t xml:space="preserve">Lucro econômico da ovinocultura (receita - custo total) </t>
  </si>
  <si>
    <t>Renda total ao produtor (lucro atividade + renda fatores) (R$/kg vivo)</t>
  </si>
  <si>
    <t>Renda total ao produtor (lucro atividade + renda fatores) (total)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</si>
</sst>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0.0000"/>
    <numFmt numFmtId="180" formatCode="0.000"/>
    <numFmt numFmtId="181" formatCode="0.0"/>
  </numFmts>
  <fonts count="79">
    <font>
      <sz val="11"/>
      <color theme="1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3"/>
      <color indexed="9"/>
      <name val="Calibri"/>
      <family val="2"/>
    </font>
    <font>
      <u val="single"/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indexed="10"/>
      <name val="Calibri"/>
      <family val="2"/>
    </font>
    <font>
      <sz val="13"/>
      <color indexed="9"/>
      <name val="Calibri"/>
      <family val="2"/>
    </font>
    <font>
      <b/>
      <i/>
      <sz val="13"/>
      <color indexed="9"/>
      <name val="Calibri"/>
      <family val="2"/>
    </font>
    <font>
      <b/>
      <i/>
      <sz val="13"/>
      <color indexed="8"/>
      <name val="Calibri"/>
      <family val="2"/>
    </font>
    <font>
      <b/>
      <u val="single"/>
      <sz val="13"/>
      <color indexed="9"/>
      <name val="Calibri"/>
      <family val="2"/>
    </font>
    <font>
      <b/>
      <u val="single"/>
      <sz val="13"/>
      <color indexed="8"/>
      <name val="Calibri"/>
      <family val="2"/>
    </font>
    <font>
      <b/>
      <sz val="13"/>
      <color indexed="19"/>
      <name val="Calibri"/>
      <family val="2"/>
    </font>
    <font>
      <u val="single"/>
      <sz val="13"/>
      <color indexed="10"/>
      <name val="Calibri"/>
      <family val="2"/>
    </font>
    <font>
      <b/>
      <u val="single"/>
      <sz val="13"/>
      <name val="Calibri"/>
      <family val="2"/>
    </font>
    <font>
      <b/>
      <i/>
      <u val="single"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libri Light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u val="single"/>
      <sz val="13"/>
      <color indexed="57"/>
      <name val="Calibri"/>
      <family val="2"/>
    </font>
    <font>
      <b/>
      <sz val="13"/>
      <color indexed="57"/>
      <name val="Calibri"/>
      <family val="2"/>
    </font>
    <font>
      <b/>
      <sz val="9"/>
      <name val="Tahoma"/>
      <family val="2"/>
    </font>
    <font>
      <b/>
      <sz val="18"/>
      <color indexed="8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8.5"/>
      <color indexed="8"/>
      <name val="Calibri"/>
      <family val="0"/>
    </font>
    <font>
      <sz val="11.95"/>
      <color indexed="8"/>
      <name val="Calibri"/>
      <family val="0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3"/>
      <color theme="1"/>
      <name val="Calibri"/>
      <family val="2"/>
    </font>
    <font>
      <b/>
      <sz val="13"/>
      <color theme="0"/>
      <name val="Calibri"/>
      <family val="2"/>
    </font>
    <font>
      <u val="single"/>
      <sz val="13"/>
      <color theme="1"/>
      <name val="Calibri"/>
      <family val="2"/>
    </font>
    <font>
      <b/>
      <sz val="13"/>
      <color theme="1"/>
      <name val="Calibri"/>
      <family val="2"/>
    </font>
    <font>
      <sz val="13"/>
      <color rgb="FFFF0000"/>
      <name val="Calibri"/>
      <family val="2"/>
    </font>
    <font>
      <sz val="13"/>
      <color theme="0"/>
      <name val="Calibri"/>
      <family val="2"/>
    </font>
    <font>
      <b/>
      <i/>
      <sz val="13"/>
      <color theme="0"/>
      <name val="Calibri"/>
      <family val="2"/>
    </font>
    <font>
      <b/>
      <i/>
      <sz val="13"/>
      <color theme="1"/>
      <name val="Calibri"/>
      <family val="2"/>
    </font>
    <font>
      <sz val="13"/>
      <color rgb="FF000000"/>
      <name val="Calibri"/>
      <family val="2"/>
    </font>
    <font>
      <b/>
      <u val="single"/>
      <sz val="13"/>
      <color theme="0"/>
      <name val="Calibri"/>
      <family val="2"/>
    </font>
    <font>
      <b/>
      <u val="single"/>
      <sz val="13"/>
      <color theme="1"/>
      <name val="Calibri"/>
      <family val="2"/>
    </font>
    <font>
      <u val="single"/>
      <sz val="13"/>
      <color rgb="FF000000"/>
      <name val="Calibri"/>
      <family val="2"/>
    </font>
    <font>
      <b/>
      <sz val="13"/>
      <color theme="6" tint="-0.24997000396251678"/>
      <name val="Calibri"/>
      <family val="2"/>
    </font>
    <font>
      <u val="single"/>
      <sz val="13"/>
      <color rgb="FFFF0000"/>
      <name val="Calibri"/>
      <family val="2"/>
    </font>
    <font>
      <b/>
      <i/>
      <u val="single"/>
      <sz val="13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499969989061355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" borderId="1" applyNumberFormat="0" applyAlignment="0" applyProtection="0"/>
    <xf numFmtId="0" fontId="46" fillId="0" borderId="2" applyNumberFormat="0" applyFill="0" applyAlignment="0" applyProtection="0"/>
    <xf numFmtId="0" fontId="0" fillId="4" borderId="3" applyNumberFormat="0" applyFont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8" borderId="6" applyNumberFormat="0" applyAlignment="0" applyProtection="0"/>
    <xf numFmtId="0" fontId="48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1" borderId="7" applyNumberFormat="0" applyAlignment="0" applyProtection="0"/>
    <xf numFmtId="0" fontId="0" fillId="12" borderId="0" applyNumberFormat="0" applyBorder="0" applyAlignment="0" applyProtection="0"/>
    <xf numFmtId="0" fontId="58" fillId="11" borderId="6" applyNumberForma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63" fillId="33" borderId="0" xfId="0" applyFont="1" applyFill="1" applyAlignment="1" applyProtection="1">
      <alignment/>
      <protection/>
    </xf>
    <xf numFmtId="0" fontId="63" fillId="33" borderId="0" xfId="0" applyFont="1" applyFill="1" applyAlignment="1" applyProtection="1">
      <alignment horizontal="center"/>
      <protection/>
    </xf>
    <xf numFmtId="0" fontId="64" fillId="34" borderId="10" xfId="0" applyFont="1" applyFill="1" applyBorder="1" applyAlignment="1" applyProtection="1">
      <alignment horizontal="center"/>
      <protection/>
    </xf>
    <xf numFmtId="0" fontId="64" fillId="34" borderId="11" xfId="0" applyFont="1" applyFill="1" applyBorder="1" applyAlignment="1" applyProtection="1">
      <alignment horizontal="center"/>
      <protection/>
    </xf>
    <xf numFmtId="0" fontId="64" fillId="34" borderId="12" xfId="0" applyFont="1" applyFill="1" applyBorder="1" applyAlignment="1" applyProtection="1">
      <alignment horizontal="center"/>
      <protection/>
    </xf>
    <xf numFmtId="0" fontId="64" fillId="34" borderId="10" xfId="0" applyFont="1" applyFill="1" applyBorder="1" applyAlignment="1" applyProtection="1">
      <alignment/>
      <protection/>
    </xf>
    <xf numFmtId="0" fontId="65" fillId="33" borderId="13" xfId="0" applyFont="1" applyFill="1" applyBorder="1" applyAlignment="1" applyProtection="1">
      <alignment/>
      <protection/>
    </xf>
    <xf numFmtId="0" fontId="66" fillId="33" borderId="14" xfId="0" applyFont="1" applyFill="1" applyBorder="1" applyAlignment="1" applyProtection="1">
      <alignment horizontal="center"/>
      <protection/>
    </xf>
    <xf numFmtId="0" fontId="64" fillId="34" borderId="15" xfId="0" applyFont="1" applyFill="1" applyBorder="1" applyAlignment="1" applyProtection="1">
      <alignment horizontal="center"/>
      <protection/>
    </xf>
    <xf numFmtId="0" fontId="65" fillId="33" borderId="16" xfId="0" applyFont="1" applyFill="1" applyBorder="1" applyAlignment="1" applyProtection="1">
      <alignment/>
      <protection/>
    </xf>
    <xf numFmtId="1" fontId="63" fillId="33" borderId="17" xfId="0" applyNumberFormat="1" applyFont="1" applyFill="1" applyBorder="1" applyAlignment="1" applyProtection="1">
      <alignment horizontal="center"/>
      <protection/>
    </xf>
    <xf numFmtId="0" fontId="63" fillId="33" borderId="16" xfId="0" applyFont="1" applyFill="1" applyBorder="1" applyAlignment="1" applyProtection="1">
      <alignment/>
      <protection/>
    </xf>
    <xf numFmtId="0" fontId="6" fillId="9" borderId="0" xfId="0" applyFont="1" applyFill="1" applyBorder="1" applyAlignment="1" applyProtection="1">
      <alignment horizontal="center"/>
      <protection locked="0"/>
    </xf>
    <xf numFmtId="177" fontId="6" fillId="9" borderId="0" xfId="0" applyNumberFormat="1" applyFont="1" applyFill="1" applyBorder="1" applyAlignment="1" applyProtection="1">
      <alignment horizontal="center"/>
      <protection locked="0"/>
    </xf>
    <xf numFmtId="177" fontId="64" fillId="34" borderId="17" xfId="0" applyNumberFormat="1" applyFont="1" applyFill="1" applyBorder="1" applyAlignment="1" applyProtection="1">
      <alignment horizontal="center"/>
      <protection/>
    </xf>
    <xf numFmtId="1" fontId="7" fillId="33" borderId="17" xfId="0" applyNumberFormat="1" applyFont="1" applyFill="1" applyBorder="1" applyAlignment="1" applyProtection="1">
      <alignment horizontal="center"/>
      <protection/>
    </xf>
    <xf numFmtId="4" fontId="7" fillId="33" borderId="17" xfId="0" applyNumberFormat="1" applyFont="1" applyFill="1" applyBorder="1" applyAlignment="1" applyProtection="1">
      <alignment horizontal="center"/>
      <protection/>
    </xf>
    <xf numFmtId="0" fontId="67" fillId="33" borderId="0" xfId="0" applyFont="1" applyFill="1" applyBorder="1" applyAlignment="1" applyProtection="1">
      <alignment horizontal="center"/>
      <protection/>
    </xf>
    <xf numFmtId="177" fontId="6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177" fontId="7" fillId="33" borderId="0" xfId="0" applyNumberFormat="1" applyFont="1" applyFill="1" applyBorder="1" applyAlignment="1" applyProtection="1">
      <alignment horizontal="center"/>
      <protection/>
    </xf>
    <xf numFmtId="0" fontId="65" fillId="33" borderId="18" xfId="0" applyFont="1" applyFill="1" applyBorder="1" applyAlignment="1" applyProtection="1">
      <alignment/>
      <protection/>
    </xf>
    <xf numFmtId="1" fontId="7" fillId="33" borderId="19" xfId="0" applyNumberFormat="1" applyFont="1" applyFill="1" applyBorder="1" applyAlignment="1" applyProtection="1">
      <alignment horizontal="center"/>
      <protection/>
    </xf>
    <xf numFmtId="0" fontId="63" fillId="33" borderId="18" xfId="0" applyFont="1" applyFill="1" applyBorder="1" applyAlignment="1" applyProtection="1">
      <alignment/>
      <protection/>
    </xf>
    <xf numFmtId="0" fontId="6" fillId="9" borderId="20" xfId="0" applyFont="1" applyFill="1" applyBorder="1" applyAlignment="1" applyProtection="1">
      <alignment horizontal="center"/>
      <protection locked="0"/>
    </xf>
    <xf numFmtId="177" fontId="6" fillId="9" borderId="20" xfId="0" applyNumberFormat="1" applyFont="1" applyFill="1" applyBorder="1" applyAlignment="1" applyProtection="1">
      <alignment horizontal="center"/>
      <protection locked="0"/>
    </xf>
    <xf numFmtId="177" fontId="64" fillId="34" borderId="19" xfId="0" applyNumberFormat="1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 applyProtection="1">
      <alignment/>
      <protection/>
    </xf>
    <xf numFmtId="0" fontId="68" fillId="34" borderId="14" xfId="0" applyFont="1" applyFill="1" applyBorder="1" applyAlignment="1" applyProtection="1">
      <alignment horizontal="center"/>
      <protection/>
    </xf>
    <xf numFmtId="0" fontId="69" fillId="34" borderId="14" xfId="0" applyFont="1" applyFill="1" applyBorder="1" applyAlignment="1" applyProtection="1">
      <alignment horizontal="right"/>
      <protection/>
    </xf>
    <xf numFmtId="177" fontId="69" fillId="34" borderId="15" xfId="0" applyNumberFormat="1" applyFont="1" applyFill="1" applyBorder="1" applyAlignment="1" applyProtection="1">
      <alignment horizontal="center"/>
      <protection/>
    </xf>
    <xf numFmtId="0" fontId="69" fillId="34" borderId="18" xfId="0" applyFont="1" applyFill="1" applyBorder="1" applyAlignment="1" applyProtection="1">
      <alignment horizontal="right"/>
      <protection/>
    </xf>
    <xf numFmtId="0" fontId="69" fillId="34" borderId="20" xfId="0" applyFont="1" applyFill="1" applyBorder="1" applyAlignment="1" applyProtection="1">
      <alignment horizontal="right"/>
      <protection/>
    </xf>
    <xf numFmtId="177" fontId="69" fillId="34" borderId="19" xfId="0" applyNumberFormat="1" applyFont="1" applyFill="1" applyBorder="1" applyAlignment="1" applyProtection="1">
      <alignment horizontal="center"/>
      <protection/>
    </xf>
    <xf numFmtId="10" fontId="63" fillId="33" borderId="0" xfId="20" applyNumberFormat="1" applyFont="1" applyFill="1" applyAlignment="1" applyProtection="1">
      <alignment horizontal="center"/>
      <protection/>
    </xf>
    <xf numFmtId="0" fontId="68" fillId="34" borderId="10" xfId="0" applyFont="1" applyFill="1" applyBorder="1" applyAlignment="1" applyProtection="1">
      <alignment/>
      <protection/>
    </xf>
    <xf numFmtId="0" fontId="68" fillId="34" borderId="11" xfId="0" applyFont="1" applyFill="1" applyBorder="1" applyAlignment="1" applyProtection="1">
      <alignment/>
      <protection/>
    </xf>
    <xf numFmtId="0" fontId="68" fillId="9" borderId="13" xfId="0" applyFont="1" applyFill="1" applyBorder="1" applyAlignment="1" applyProtection="1">
      <alignment/>
      <protection/>
    </xf>
    <xf numFmtId="0" fontId="68" fillId="9" borderId="14" xfId="0" applyFont="1" applyFill="1" applyBorder="1" applyAlignment="1" applyProtection="1">
      <alignment/>
      <protection/>
    </xf>
    <xf numFmtId="0" fontId="68" fillId="9" borderId="15" xfId="0" applyFont="1" applyFill="1" applyBorder="1" applyAlignment="1" applyProtection="1">
      <alignment/>
      <protection/>
    </xf>
    <xf numFmtId="0" fontId="5" fillId="35" borderId="16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177" fontId="6" fillId="35" borderId="17" xfId="16" applyNumberFormat="1" applyFont="1" applyFill="1" applyBorder="1" applyAlignment="1" applyProtection="1">
      <alignment/>
      <protection/>
    </xf>
    <xf numFmtId="0" fontId="11" fillId="35" borderId="18" xfId="0" applyFont="1" applyFill="1" applyBorder="1" applyAlignment="1" applyProtection="1">
      <alignment/>
      <protection/>
    </xf>
    <xf numFmtId="0" fontId="11" fillId="35" borderId="20" xfId="0" applyFont="1" applyFill="1" applyBorder="1" applyAlignment="1" applyProtection="1">
      <alignment/>
      <protection/>
    </xf>
    <xf numFmtId="0" fontId="11" fillId="35" borderId="19" xfId="0" applyFont="1" applyFill="1" applyBorder="1" applyAlignment="1" applyProtection="1">
      <alignment/>
      <protection/>
    </xf>
    <xf numFmtId="43" fontId="63" fillId="33" borderId="0" xfId="0" applyNumberFormat="1" applyFont="1" applyFill="1" applyAlignment="1" applyProtection="1">
      <alignment/>
      <protection/>
    </xf>
    <xf numFmtId="0" fontId="69" fillId="36" borderId="10" xfId="0" applyFont="1" applyFill="1" applyBorder="1" applyAlignment="1" applyProtection="1">
      <alignment horizontal="left"/>
      <protection/>
    </xf>
    <xf numFmtId="0" fontId="69" fillId="36" borderId="11" xfId="0" applyFont="1" applyFill="1" applyBorder="1" applyAlignment="1" applyProtection="1">
      <alignment horizontal="left"/>
      <protection/>
    </xf>
    <xf numFmtId="177" fontId="64" fillId="36" borderId="12" xfId="16" applyNumberFormat="1" applyFont="1" applyFill="1" applyBorder="1" applyAlignment="1" applyProtection="1">
      <alignment/>
      <protection/>
    </xf>
    <xf numFmtId="0" fontId="63" fillId="9" borderId="13" xfId="0" applyFont="1" applyFill="1" applyBorder="1" applyAlignment="1" applyProtection="1">
      <alignment/>
      <protection/>
    </xf>
    <xf numFmtId="177" fontId="63" fillId="9" borderId="14" xfId="0" applyNumberFormat="1" applyFont="1" applyFill="1" applyBorder="1" applyAlignment="1" applyProtection="1">
      <alignment/>
      <protection/>
    </xf>
    <xf numFmtId="10" fontId="63" fillId="9" borderId="17" xfId="20" applyNumberFormat="1" applyFont="1" applyFill="1" applyBorder="1" applyAlignment="1" applyProtection="1">
      <alignment horizontal="center"/>
      <protection/>
    </xf>
    <xf numFmtId="0" fontId="63" fillId="9" borderId="16" xfId="0" applyFont="1" applyFill="1" applyBorder="1" applyAlignment="1" applyProtection="1">
      <alignment/>
      <protection/>
    </xf>
    <xf numFmtId="177" fontId="63" fillId="9" borderId="0" xfId="0" applyNumberFormat="1" applyFont="1" applyFill="1" applyBorder="1" applyAlignment="1" applyProtection="1">
      <alignment/>
      <protection/>
    </xf>
    <xf numFmtId="0" fontId="63" fillId="9" borderId="18" xfId="0" applyFont="1" applyFill="1" applyBorder="1" applyAlignment="1" applyProtection="1">
      <alignment/>
      <protection/>
    </xf>
    <xf numFmtId="177" fontId="63" fillId="9" borderId="20" xfId="0" applyNumberFormat="1" applyFont="1" applyFill="1" applyBorder="1" applyAlignment="1" applyProtection="1">
      <alignment/>
      <protection/>
    </xf>
    <xf numFmtId="10" fontId="63" fillId="9" borderId="19" xfId="20" applyNumberFormat="1" applyFont="1" applyFill="1" applyBorder="1" applyAlignment="1" applyProtection="1">
      <alignment horizontal="center"/>
      <protection/>
    </xf>
    <xf numFmtId="10" fontId="63" fillId="9" borderId="15" xfId="20" applyNumberFormat="1" applyFont="1" applyFill="1" applyBorder="1" applyAlignment="1" applyProtection="1">
      <alignment horizontal="center"/>
      <protection/>
    </xf>
    <xf numFmtId="177" fontId="64" fillId="34" borderId="11" xfId="0" applyNumberFormat="1" applyFont="1" applyFill="1" applyBorder="1" applyAlignment="1" applyProtection="1">
      <alignment/>
      <protection/>
    </xf>
    <xf numFmtId="10" fontId="64" fillId="34" borderId="12" xfId="0" applyNumberFormat="1" applyFont="1" applyFill="1" applyBorder="1" applyAlignment="1" applyProtection="1">
      <alignment horizontal="center"/>
      <protection/>
    </xf>
    <xf numFmtId="0" fontId="70" fillId="33" borderId="0" xfId="0" applyFont="1" applyFill="1" applyAlignment="1" applyProtection="1">
      <alignment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Alignment="1" applyProtection="1">
      <alignment horizontal="right"/>
      <protection/>
    </xf>
    <xf numFmtId="0" fontId="7" fillId="33" borderId="0" xfId="0" applyFont="1" applyFill="1" applyAlignment="1" applyProtection="1">
      <alignment horizontal="center"/>
      <protection/>
    </xf>
    <xf numFmtId="0" fontId="64" fillId="34" borderId="11" xfId="0" applyFont="1" applyFill="1" applyBorder="1" applyAlignment="1" applyProtection="1">
      <alignment horizontal="left"/>
      <protection/>
    </xf>
    <xf numFmtId="0" fontId="64" fillId="34" borderId="21" xfId="0" applyFont="1" applyFill="1" applyBorder="1" applyAlignment="1" applyProtection="1">
      <alignment horizontal="center"/>
      <protection/>
    </xf>
    <xf numFmtId="0" fontId="70" fillId="33" borderId="16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 horizontal="right"/>
      <protection/>
    </xf>
    <xf numFmtId="0" fontId="70" fillId="33" borderId="14" xfId="0" applyFont="1" applyFill="1" applyBorder="1" applyAlignment="1" applyProtection="1">
      <alignment horizontal="left"/>
      <protection/>
    </xf>
    <xf numFmtId="0" fontId="70" fillId="33" borderId="22" xfId="0" applyFont="1" applyFill="1" applyBorder="1" applyAlignment="1" applyProtection="1">
      <alignment horizontal="left"/>
      <protection/>
    </xf>
    <xf numFmtId="0" fontId="70" fillId="33" borderId="23" xfId="0" applyFont="1" applyFill="1" applyBorder="1" applyAlignment="1" applyProtection="1">
      <alignment horizontal="center"/>
      <protection/>
    </xf>
    <xf numFmtId="0" fontId="63" fillId="33" borderId="0" xfId="0" applyFont="1" applyFill="1" applyBorder="1" applyAlignment="1" applyProtection="1">
      <alignment horizontal="right"/>
      <protection/>
    </xf>
    <xf numFmtId="0" fontId="63" fillId="33" borderId="0" xfId="0" applyFont="1" applyFill="1" applyBorder="1" applyAlignment="1" applyProtection="1">
      <alignment horizontal="left"/>
      <protection/>
    </xf>
    <xf numFmtId="0" fontId="63" fillId="33" borderId="23" xfId="0" applyFont="1" applyFill="1" applyBorder="1" applyAlignment="1" applyProtection="1">
      <alignment horizontal="center"/>
      <protection/>
    </xf>
    <xf numFmtId="0" fontId="63" fillId="33" borderId="24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2" fontId="63" fillId="33" borderId="23" xfId="0" applyNumberFormat="1" applyFont="1" applyFill="1" applyBorder="1" applyAlignment="1" applyProtection="1">
      <alignment horizontal="center"/>
      <protection/>
    </xf>
    <xf numFmtId="0" fontId="70" fillId="33" borderId="0" xfId="0" applyFont="1" applyFill="1" applyBorder="1" applyAlignment="1" applyProtection="1">
      <alignment horizontal="left"/>
      <protection/>
    </xf>
    <xf numFmtId="0" fontId="70" fillId="33" borderId="24" xfId="0" applyFont="1" applyFill="1" applyBorder="1" applyAlignment="1" applyProtection="1">
      <alignment horizontal="left"/>
      <protection/>
    </xf>
    <xf numFmtId="0" fontId="7" fillId="33" borderId="24" xfId="0" applyFont="1" applyFill="1" applyBorder="1" applyAlignment="1" applyProtection="1">
      <alignment horizontal="left"/>
      <protection/>
    </xf>
    <xf numFmtId="17" fontId="64" fillId="34" borderId="25" xfId="0" applyNumberFormat="1" applyFont="1" applyFill="1" applyBorder="1" applyAlignment="1" applyProtection="1">
      <alignment horizontal="center"/>
      <protection/>
    </xf>
    <xf numFmtId="0" fontId="70" fillId="33" borderId="24" xfId="0" applyFont="1" applyFill="1" applyBorder="1" applyAlignment="1" applyProtection="1">
      <alignment horizontal="center"/>
      <protection/>
    </xf>
    <xf numFmtId="177" fontId="69" fillId="34" borderId="17" xfId="0" applyNumberFormat="1" applyFont="1" applyFill="1" applyBorder="1" applyAlignment="1" applyProtection="1">
      <alignment horizontal="center"/>
      <protection/>
    </xf>
    <xf numFmtId="0" fontId="63" fillId="33" borderId="24" xfId="0" applyFont="1" applyFill="1" applyBorder="1" applyAlignment="1" applyProtection="1">
      <alignment horizontal="center"/>
      <protection/>
    </xf>
    <xf numFmtId="0" fontId="64" fillId="34" borderId="13" xfId="0" applyFont="1" applyFill="1" applyBorder="1" applyAlignment="1" applyProtection="1">
      <alignment/>
      <protection/>
    </xf>
    <xf numFmtId="0" fontId="6" fillId="9" borderId="15" xfId="0" applyFont="1" applyFill="1" applyBorder="1" applyAlignment="1" applyProtection="1">
      <alignment horizontal="center"/>
      <protection locked="0"/>
    </xf>
    <xf numFmtId="0" fontId="64" fillId="34" borderId="16" xfId="0" applyFont="1" applyFill="1" applyBorder="1" applyAlignment="1" applyProtection="1">
      <alignment/>
      <protection/>
    </xf>
    <xf numFmtId="0" fontId="6" fillId="9" borderId="17" xfId="0" applyFont="1" applyFill="1" applyBorder="1" applyAlignment="1" applyProtection="1">
      <alignment horizontal="center"/>
      <protection locked="0"/>
    </xf>
    <xf numFmtId="1" fontId="64" fillId="34" borderId="17" xfId="0" applyNumberFormat="1" applyFont="1" applyFill="1" applyBorder="1" applyAlignment="1" applyProtection="1">
      <alignment horizontal="center"/>
      <protection/>
    </xf>
    <xf numFmtId="9" fontId="6" fillId="9" borderId="17" xfId="20" applyFont="1" applyFill="1" applyBorder="1" applyAlignment="1" applyProtection="1">
      <alignment horizontal="center"/>
      <protection locked="0"/>
    </xf>
    <xf numFmtId="178" fontId="6" fillId="9" borderId="17" xfId="0" applyNumberFormat="1" applyFont="1" applyFill="1" applyBorder="1" applyAlignment="1" applyProtection="1">
      <alignment horizontal="center"/>
      <protection locked="0"/>
    </xf>
    <xf numFmtId="0" fontId="6" fillId="9" borderId="17" xfId="0" applyNumberFormat="1" applyFont="1" applyFill="1" applyBorder="1" applyAlignment="1" applyProtection="1">
      <alignment horizontal="center"/>
      <protection locked="0"/>
    </xf>
    <xf numFmtId="0" fontId="64" fillId="34" borderId="18" xfId="0" applyFont="1" applyFill="1" applyBorder="1" applyAlignment="1" applyProtection="1">
      <alignment/>
      <protection/>
    </xf>
    <xf numFmtId="178" fontId="6" fillId="9" borderId="19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70" fillId="33" borderId="20" xfId="0" applyFont="1" applyFill="1" applyBorder="1" applyAlignment="1" applyProtection="1">
      <alignment horizontal="left"/>
      <protection/>
    </xf>
    <xf numFmtId="0" fontId="63" fillId="33" borderId="26" xfId="0" applyFont="1" applyFill="1" applyBorder="1" applyAlignment="1" applyProtection="1">
      <alignment horizontal="center"/>
      <protection/>
    </xf>
    <xf numFmtId="0" fontId="70" fillId="33" borderId="0" xfId="0" applyFont="1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 horizontal="center"/>
      <protection/>
    </xf>
    <xf numFmtId="0" fontId="63" fillId="33" borderId="23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 horizontal="left" vertical="center"/>
      <protection/>
    </xf>
    <xf numFmtId="0" fontId="63" fillId="33" borderId="24" xfId="0" applyFont="1" applyFill="1" applyBorder="1" applyAlignment="1" applyProtection="1">
      <alignment horizontal="left" vertical="center"/>
      <protection/>
    </xf>
    <xf numFmtId="0" fontId="63" fillId="33" borderId="23" xfId="0" applyFont="1" applyFill="1" applyBorder="1" applyAlignment="1" applyProtection="1">
      <alignment horizontal="center" vertical="center"/>
      <protection/>
    </xf>
    <xf numFmtId="0" fontId="63" fillId="33" borderId="0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63" fillId="33" borderId="27" xfId="0" applyFont="1" applyFill="1" applyBorder="1" applyAlignment="1" applyProtection="1">
      <alignment horizontal="center"/>
      <protection/>
    </xf>
    <xf numFmtId="0" fontId="64" fillId="34" borderId="28" xfId="0" applyFont="1" applyFill="1" applyBorder="1" applyAlignment="1" applyProtection="1">
      <alignment/>
      <protection/>
    </xf>
    <xf numFmtId="0" fontId="69" fillId="34" borderId="28" xfId="0" applyFont="1" applyFill="1" applyBorder="1" applyAlignment="1" applyProtection="1">
      <alignment/>
      <protection/>
    </xf>
    <xf numFmtId="0" fontId="63" fillId="33" borderId="24" xfId="0" applyFont="1" applyFill="1" applyBorder="1" applyAlignment="1" applyProtection="1">
      <alignment/>
      <protection/>
    </xf>
    <xf numFmtId="0" fontId="64" fillId="34" borderId="17" xfId="0" applyFont="1" applyFill="1" applyBorder="1" applyAlignment="1" applyProtection="1">
      <alignment/>
      <protection/>
    </xf>
    <xf numFmtId="0" fontId="63" fillId="33" borderId="24" xfId="0" applyFont="1" applyFill="1" applyBorder="1" applyAlignment="1" applyProtection="1">
      <alignment horizontal="center" vertical="center"/>
      <protection/>
    </xf>
    <xf numFmtId="177" fontId="64" fillId="34" borderId="28" xfId="0" applyNumberFormat="1" applyFont="1" applyFill="1" applyBorder="1" applyAlignment="1" applyProtection="1">
      <alignment horizontal="center"/>
      <protection/>
    </xf>
    <xf numFmtId="0" fontId="63" fillId="33" borderId="0" xfId="0" applyFont="1" applyFill="1" applyBorder="1" applyAlignment="1" applyProtection="1">
      <alignment horizontal="center"/>
      <protection/>
    </xf>
    <xf numFmtId="177" fontId="63" fillId="33" borderId="0" xfId="0" applyNumberFormat="1" applyFont="1" applyFill="1" applyBorder="1" applyAlignment="1" applyProtection="1">
      <alignment/>
      <protection/>
    </xf>
    <xf numFmtId="10" fontId="7" fillId="33" borderId="23" xfId="0" applyNumberFormat="1" applyFont="1" applyFill="1" applyBorder="1" applyAlignment="1" applyProtection="1">
      <alignment horizontal="center" vertical="center"/>
      <protection/>
    </xf>
    <xf numFmtId="0" fontId="71" fillId="33" borderId="0" xfId="0" applyFont="1" applyFill="1" applyBorder="1" applyAlignment="1" applyProtection="1">
      <alignment/>
      <protection/>
    </xf>
    <xf numFmtId="0" fontId="71" fillId="33" borderId="0" xfId="0" applyFont="1" applyFill="1" applyBorder="1" applyAlignment="1" applyProtection="1">
      <alignment horizontal="left"/>
      <protection/>
    </xf>
    <xf numFmtId="0" fontId="71" fillId="33" borderId="24" xfId="0" applyFont="1" applyFill="1" applyBorder="1" applyAlignment="1" applyProtection="1">
      <alignment horizontal="left"/>
      <protection/>
    </xf>
    <xf numFmtId="0" fontId="63" fillId="0" borderId="23" xfId="0" applyFont="1" applyFill="1" applyBorder="1" applyAlignment="1" applyProtection="1">
      <alignment horizontal="center"/>
      <protection/>
    </xf>
    <xf numFmtId="0" fontId="64" fillId="34" borderId="10" xfId="0" applyFont="1" applyFill="1" applyBorder="1" applyAlignment="1" applyProtection="1">
      <alignment horizontal="left"/>
      <protection/>
    </xf>
    <xf numFmtId="0" fontId="69" fillId="34" borderId="17" xfId="0" applyFont="1" applyFill="1" applyBorder="1" applyAlignment="1" applyProtection="1">
      <alignment/>
      <protection/>
    </xf>
    <xf numFmtId="177" fontId="64" fillId="34" borderId="25" xfId="0" applyNumberFormat="1" applyFont="1" applyFill="1" applyBorder="1" applyAlignment="1" applyProtection="1">
      <alignment horizontal="center"/>
      <protection/>
    </xf>
    <xf numFmtId="0" fontId="71" fillId="33" borderId="24" xfId="0" applyFont="1" applyFill="1" applyBorder="1" applyAlignment="1" applyProtection="1">
      <alignment horizontal="center"/>
      <protection/>
    </xf>
    <xf numFmtId="177" fontId="64" fillId="34" borderId="12" xfId="0" applyNumberFormat="1" applyFont="1" applyFill="1" applyBorder="1" applyAlignment="1" applyProtection="1">
      <alignment horizontal="center"/>
      <protection/>
    </xf>
    <xf numFmtId="177" fontId="64" fillId="34" borderId="12" xfId="0" applyNumberFormat="1" applyFont="1" applyFill="1" applyBorder="1" applyAlignment="1" applyProtection="1">
      <alignment horizontal="left"/>
      <protection/>
    </xf>
    <xf numFmtId="179" fontId="6" fillId="33" borderId="0" xfId="0" applyNumberFormat="1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67" fillId="33" borderId="0" xfId="0" applyFont="1" applyFill="1" applyAlignment="1" applyProtection="1">
      <alignment/>
      <protection/>
    </xf>
    <xf numFmtId="0" fontId="64" fillId="34" borderId="13" xfId="0" applyFont="1" applyFill="1" applyBorder="1" applyAlignment="1" applyProtection="1">
      <alignment horizontal="center" vertical="center"/>
      <protection/>
    </xf>
    <xf numFmtId="0" fontId="64" fillId="34" borderId="15" xfId="0" applyFont="1" applyFill="1" applyBorder="1" applyAlignment="1" applyProtection="1">
      <alignment horizontal="center" vertical="center"/>
      <protection/>
    </xf>
    <xf numFmtId="0" fontId="64" fillId="34" borderId="29" xfId="0" applyFont="1" applyFill="1" applyBorder="1" applyAlignment="1" applyProtection="1">
      <alignment horizontal="center" vertical="center"/>
      <protection/>
    </xf>
    <xf numFmtId="17" fontId="72" fillId="34" borderId="13" xfId="0" applyNumberFormat="1" applyFont="1" applyFill="1" applyBorder="1" applyAlignment="1" applyProtection="1">
      <alignment/>
      <protection/>
    </xf>
    <xf numFmtId="17" fontId="64" fillId="34" borderId="15" xfId="0" applyNumberFormat="1" applyFont="1" applyFill="1" applyBorder="1" applyAlignment="1" applyProtection="1">
      <alignment horizontal="center" vertical="center"/>
      <protection/>
    </xf>
    <xf numFmtId="0" fontId="64" fillId="34" borderId="18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64" fillId="34" borderId="30" xfId="0" applyFont="1" applyFill="1" applyBorder="1" applyAlignment="1" applyProtection="1">
      <alignment horizontal="center" vertical="center"/>
      <protection/>
    </xf>
    <xf numFmtId="17" fontId="64" fillId="34" borderId="18" xfId="0" applyNumberFormat="1" applyFont="1" applyFill="1" applyBorder="1" applyAlignment="1" applyProtection="1">
      <alignment horizontal="center"/>
      <protection/>
    </xf>
    <xf numFmtId="17" fontId="64" fillId="34" borderId="19" xfId="0" applyNumberFormat="1" applyFont="1" applyFill="1" applyBorder="1" applyAlignment="1" applyProtection="1">
      <alignment horizontal="center" vertical="center"/>
      <protection/>
    </xf>
    <xf numFmtId="0" fontId="66" fillId="33" borderId="13" xfId="0" applyFont="1" applyFill="1" applyBorder="1" applyAlignment="1" applyProtection="1">
      <alignment/>
      <protection/>
    </xf>
    <xf numFmtId="0" fontId="66" fillId="33" borderId="15" xfId="0" applyFont="1" applyFill="1" applyBorder="1" applyAlignment="1" applyProtection="1">
      <alignment/>
      <protection/>
    </xf>
    <xf numFmtId="0" fontId="63" fillId="33" borderId="13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horizontal="center"/>
      <protection/>
    </xf>
    <xf numFmtId="0" fontId="63" fillId="33" borderId="17" xfId="0" applyFont="1" applyFill="1" applyBorder="1" applyAlignment="1" applyProtection="1">
      <alignment/>
      <protection/>
    </xf>
    <xf numFmtId="0" fontId="63" fillId="33" borderId="16" xfId="0" applyFont="1" applyFill="1" applyBorder="1" applyAlignment="1" applyProtection="1">
      <alignment horizontal="center"/>
      <protection/>
    </xf>
    <xf numFmtId="4" fontId="6" fillId="9" borderId="16" xfId="0" applyNumberFormat="1" applyFont="1" applyFill="1" applyBorder="1" applyAlignment="1" applyProtection="1">
      <alignment horizontal="center"/>
      <protection/>
    </xf>
    <xf numFmtId="4" fontId="6" fillId="9" borderId="17" xfId="0" applyNumberFormat="1" applyFont="1" applyFill="1" applyBorder="1" applyAlignment="1" applyProtection="1">
      <alignment horizontal="center"/>
      <protection locked="0"/>
    </xf>
    <xf numFmtId="0" fontId="66" fillId="33" borderId="16" xfId="0" applyFont="1" applyFill="1" applyBorder="1" applyAlignment="1" applyProtection="1">
      <alignment horizontal="left"/>
      <protection/>
    </xf>
    <xf numFmtId="0" fontId="66" fillId="33" borderId="17" xfId="0" applyFont="1" applyFill="1" applyBorder="1" applyAlignment="1" applyProtection="1">
      <alignment horizontal="left"/>
      <protection/>
    </xf>
    <xf numFmtId="4" fontId="7" fillId="33" borderId="16" xfId="0" applyNumberFormat="1" applyFont="1" applyFill="1" applyBorder="1" applyAlignment="1" applyProtection="1">
      <alignment horizontal="center"/>
      <protection/>
    </xf>
    <xf numFmtId="4" fontId="6" fillId="33" borderId="17" xfId="0" applyNumberFormat="1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/>
      <protection/>
    </xf>
    <xf numFmtId="0" fontId="66" fillId="33" borderId="16" xfId="0" applyFont="1" applyFill="1" applyBorder="1" applyAlignment="1" applyProtection="1">
      <alignment/>
      <protection/>
    </xf>
    <xf numFmtId="0" fontId="66" fillId="33" borderId="17" xfId="0" applyFont="1" applyFill="1" applyBorder="1" applyAlignment="1" applyProtection="1">
      <alignment/>
      <protection/>
    </xf>
    <xf numFmtId="4" fontId="6" fillId="33" borderId="16" xfId="0" applyNumberFormat="1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7" fillId="33" borderId="17" xfId="0" applyFont="1" applyFill="1" applyBorder="1" applyAlignment="1" applyProtection="1">
      <alignment horizontal="left"/>
      <protection/>
    </xf>
    <xf numFmtId="0" fontId="63" fillId="33" borderId="17" xfId="0" applyFont="1" applyFill="1" applyBorder="1" applyAlignment="1" applyProtection="1">
      <alignment horizontal="left"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/>
      <protection/>
    </xf>
    <xf numFmtId="0" fontId="63" fillId="33" borderId="16" xfId="0" applyFont="1" applyFill="1" applyBorder="1" applyAlignment="1" applyProtection="1">
      <alignment/>
      <protection/>
    </xf>
    <xf numFmtId="0" fontId="63" fillId="33" borderId="17" xfId="0" applyFont="1" applyFill="1" applyBorder="1" applyAlignment="1" applyProtection="1">
      <alignment/>
      <protection/>
    </xf>
    <xf numFmtId="0" fontId="67" fillId="33" borderId="16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left"/>
      <protection/>
    </xf>
    <xf numFmtId="0" fontId="67" fillId="33" borderId="16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horizontal="left"/>
      <protection/>
    </xf>
    <xf numFmtId="0" fontId="63" fillId="33" borderId="16" xfId="0" applyFont="1" applyFill="1" applyBorder="1" applyAlignment="1" applyProtection="1">
      <alignment horizontal="left"/>
      <protection/>
    </xf>
    <xf numFmtId="10" fontId="6" fillId="9" borderId="16" xfId="20" applyNumberFormat="1" applyFont="1" applyFill="1" applyBorder="1" applyAlignment="1" applyProtection="1">
      <alignment horizontal="center"/>
      <protection/>
    </xf>
    <xf numFmtId="10" fontId="6" fillId="9" borderId="17" xfId="20" applyNumberFormat="1" applyFont="1" applyFill="1" applyBorder="1" applyAlignment="1" applyProtection="1">
      <alignment horizontal="center"/>
      <protection locked="0"/>
    </xf>
    <xf numFmtId="0" fontId="66" fillId="33" borderId="18" xfId="0" applyFont="1" applyFill="1" applyBorder="1" applyAlignment="1" applyProtection="1">
      <alignment horizontal="left"/>
      <protection/>
    </xf>
    <xf numFmtId="0" fontId="66" fillId="33" borderId="20" xfId="0" applyFont="1" applyFill="1" applyBorder="1" applyAlignment="1" applyProtection="1">
      <alignment horizontal="left"/>
      <protection/>
    </xf>
    <xf numFmtId="0" fontId="63" fillId="33" borderId="18" xfId="0" applyFont="1" applyFill="1" applyBorder="1" applyAlignment="1" applyProtection="1">
      <alignment horizontal="center"/>
      <protection/>
    </xf>
    <xf numFmtId="10" fontId="6" fillId="9" borderId="18" xfId="20" applyNumberFormat="1" applyFont="1" applyFill="1" applyBorder="1" applyAlignment="1" applyProtection="1">
      <alignment horizontal="center"/>
      <protection/>
    </xf>
    <xf numFmtId="10" fontId="6" fillId="9" borderId="19" xfId="2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3" fillId="33" borderId="0" xfId="0" applyFont="1" applyFill="1" applyAlignment="1" applyProtection="1">
      <alignment wrapText="1"/>
      <protection/>
    </xf>
    <xf numFmtId="0" fontId="73" fillId="33" borderId="0" xfId="0" applyFont="1" applyFill="1" applyAlignment="1" applyProtection="1">
      <alignment horizontal="center"/>
      <protection/>
    </xf>
    <xf numFmtId="0" fontId="73" fillId="33" borderId="0" xfId="0" applyFont="1" applyFill="1" applyAlignment="1" applyProtection="1">
      <alignment/>
      <protection/>
    </xf>
    <xf numFmtId="0" fontId="64" fillId="34" borderId="31" xfId="0" applyFont="1" applyFill="1" applyBorder="1" applyAlignment="1" applyProtection="1">
      <alignment horizontal="center" vertical="center" wrapText="1"/>
      <protection/>
    </xf>
    <xf numFmtId="0" fontId="64" fillId="34" borderId="32" xfId="0" applyFont="1" applyFill="1" applyBorder="1" applyAlignment="1" applyProtection="1">
      <alignment horizontal="center" vertical="center" wrapText="1"/>
      <protection/>
    </xf>
    <xf numFmtId="0" fontId="64" fillId="34" borderId="33" xfId="0" applyFont="1" applyFill="1" applyBorder="1" applyAlignment="1" applyProtection="1">
      <alignment horizontal="center" vertical="center" wrapText="1"/>
      <protection/>
    </xf>
    <xf numFmtId="0" fontId="64" fillId="34" borderId="25" xfId="0" applyFont="1" applyFill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center" vertical="center" wrapText="1"/>
      <protection/>
    </xf>
    <xf numFmtId="0" fontId="74" fillId="33" borderId="16" xfId="0" applyFont="1" applyFill="1" applyBorder="1" applyAlignment="1" applyProtection="1">
      <alignment/>
      <protection/>
    </xf>
    <xf numFmtId="0" fontId="71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horizontal="center" wrapText="1"/>
      <protection/>
    </xf>
    <xf numFmtId="0" fontId="7" fillId="33" borderId="29" xfId="0" applyFont="1" applyFill="1" applyBorder="1" applyAlignment="1" applyProtection="1">
      <alignment horizontal="center" wrapText="1"/>
      <protection/>
    </xf>
    <xf numFmtId="0" fontId="63" fillId="33" borderId="0" xfId="0" applyFont="1" applyFill="1" applyAlignment="1" applyProtection="1">
      <alignment horizontal="left"/>
      <protection/>
    </xf>
    <xf numFmtId="0" fontId="66" fillId="9" borderId="0" xfId="0" applyFont="1" applyFill="1" applyAlignment="1" applyProtection="1">
      <alignment horizontal="center"/>
      <protection locked="0"/>
    </xf>
    <xf numFmtId="180" fontId="66" fillId="9" borderId="0" xfId="0" applyNumberFormat="1" applyFont="1" applyFill="1" applyAlignment="1" applyProtection="1">
      <alignment horizontal="center"/>
      <protection locked="0"/>
    </xf>
    <xf numFmtId="1" fontId="6" fillId="33" borderId="34" xfId="0" applyNumberFormat="1" applyFont="1" applyFill="1" applyBorder="1" applyAlignment="1" applyProtection="1">
      <alignment horizontal="center" wrapText="1"/>
      <protection/>
    </xf>
    <xf numFmtId="0" fontId="63" fillId="33" borderId="13" xfId="0" applyFont="1" applyFill="1" applyBorder="1" applyAlignment="1" applyProtection="1">
      <alignment horizontal="left"/>
      <protection/>
    </xf>
    <xf numFmtId="1" fontId="6" fillId="9" borderId="0" xfId="0" applyNumberFormat="1" applyFont="1" applyFill="1" applyBorder="1" applyAlignment="1" applyProtection="1">
      <alignment horizontal="center"/>
      <protection locked="0"/>
    </xf>
    <xf numFmtId="180" fontId="6" fillId="9" borderId="0" xfId="0" applyNumberFormat="1" applyFont="1" applyFill="1" applyBorder="1" applyAlignment="1" applyProtection="1">
      <alignment horizontal="center" wrapText="1"/>
      <protection locked="0"/>
    </xf>
    <xf numFmtId="0" fontId="6" fillId="9" borderId="0" xfId="0" applyFont="1" applyFill="1" applyBorder="1" applyAlignment="1" applyProtection="1">
      <alignment horizontal="left"/>
      <protection locked="0"/>
    </xf>
    <xf numFmtId="0" fontId="63" fillId="33" borderId="18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/>
      <protection/>
    </xf>
    <xf numFmtId="0" fontId="63" fillId="33" borderId="14" xfId="0" applyFont="1" applyFill="1" applyBorder="1" applyAlignment="1" applyProtection="1">
      <alignment horizontal="left"/>
      <protection/>
    </xf>
    <xf numFmtId="0" fontId="66" fillId="9" borderId="14" xfId="0" applyFont="1" applyFill="1" applyBorder="1" applyAlignment="1" applyProtection="1">
      <alignment horizontal="center"/>
      <protection locked="0"/>
    </xf>
    <xf numFmtId="180" fontId="66" fillId="9" borderId="14" xfId="0" applyNumberFormat="1" applyFont="1" applyFill="1" applyBorder="1" applyAlignment="1" applyProtection="1">
      <alignment horizontal="center"/>
      <protection locked="0"/>
    </xf>
    <xf numFmtId="1" fontId="6" fillId="33" borderId="29" xfId="0" applyNumberFormat="1" applyFont="1" applyFill="1" applyBorder="1" applyAlignment="1" applyProtection="1">
      <alignment horizontal="center" wrapText="1"/>
      <protection/>
    </xf>
    <xf numFmtId="180" fontId="6" fillId="9" borderId="0" xfId="0" applyNumberFormat="1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/>
      <protection/>
    </xf>
    <xf numFmtId="0" fontId="7" fillId="33" borderId="20" xfId="0" applyFont="1" applyFill="1" applyBorder="1" applyAlignment="1" applyProtection="1">
      <alignment horizontal="left"/>
      <protection/>
    </xf>
    <xf numFmtId="180" fontId="6" fillId="9" borderId="20" xfId="0" applyNumberFormat="1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/>
      <protection/>
    </xf>
    <xf numFmtId="180" fontId="6" fillId="33" borderId="17" xfId="0" applyNumberFormat="1" applyFont="1" applyFill="1" applyBorder="1" applyAlignment="1" applyProtection="1">
      <alignment horizontal="center" wrapText="1"/>
      <protection/>
    </xf>
    <xf numFmtId="0" fontId="71" fillId="33" borderId="16" xfId="0" applyFont="1" applyFill="1" applyBorder="1" applyAlignment="1" applyProtection="1">
      <alignment/>
      <protection/>
    </xf>
    <xf numFmtId="180" fontId="6" fillId="9" borderId="17" xfId="0" applyNumberFormat="1" applyFont="1" applyFill="1" applyBorder="1" applyAlignment="1" applyProtection="1">
      <alignment horizontal="center" wrapText="1"/>
      <protection locked="0"/>
    </xf>
    <xf numFmtId="180" fontId="6" fillId="9" borderId="19" xfId="0" applyNumberFormat="1" applyFont="1" applyFill="1" applyBorder="1" applyAlignment="1" applyProtection="1">
      <alignment horizontal="center" wrapText="1"/>
      <protection locked="0"/>
    </xf>
    <xf numFmtId="1" fontId="6" fillId="33" borderId="30" xfId="0" applyNumberFormat="1" applyFont="1" applyFill="1" applyBorder="1" applyAlignment="1" applyProtection="1">
      <alignment horizontal="center" wrapText="1"/>
      <protection/>
    </xf>
    <xf numFmtId="0" fontId="71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left"/>
      <protection/>
    </xf>
    <xf numFmtId="0" fontId="6" fillId="9" borderId="14" xfId="0" applyFont="1" applyFill="1" applyBorder="1" applyAlignment="1" applyProtection="1">
      <alignment horizontal="center"/>
      <protection locked="0"/>
    </xf>
    <xf numFmtId="180" fontId="6" fillId="9" borderId="15" xfId="0" applyNumberFormat="1" applyFont="1" applyFill="1" applyBorder="1" applyAlignment="1" applyProtection="1">
      <alignment horizontal="center" wrapText="1"/>
      <protection locked="0"/>
    </xf>
    <xf numFmtId="0" fontId="74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4" fillId="34" borderId="11" xfId="0" applyFont="1" applyFill="1" applyBorder="1" applyAlignment="1" applyProtection="1">
      <alignment horizontal="center" vertical="center" wrapText="1"/>
      <protection/>
    </xf>
    <xf numFmtId="0" fontId="64" fillId="34" borderId="12" xfId="0" applyFont="1" applyFill="1" applyBorder="1" applyAlignment="1" applyProtection="1">
      <alignment horizontal="center" vertical="center" wrapText="1"/>
      <protection/>
    </xf>
    <xf numFmtId="0" fontId="63" fillId="33" borderId="15" xfId="0" applyFont="1" applyFill="1" applyBorder="1" applyAlignment="1" applyProtection="1">
      <alignment horizontal="center"/>
      <protection/>
    </xf>
    <xf numFmtId="0" fontId="63" fillId="33" borderId="17" xfId="0" applyFont="1" applyFill="1" applyBorder="1" applyAlignment="1" applyProtection="1">
      <alignment horizontal="center"/>
      <protection/>
    </xf>
    <xf numFmtId="0" fontId="63" fillId="33" borderId="20" xfId="0" applyFont="1" applyFill="1" applyBorder="1" applyAlignment="1" applyProtection="1">
      <alignment horizontal="left"/>
      <protection/>
    </xf>
    <xf numFmtId="0" fontId="66" fillId="9" borderId="19" xfId="0" applyFont="1" applyFill="1" applyBorder="1" applyAlignment="1" applyProtection="1">
      <alignment horizontal="center"/>
      <protection locked="0"/>
    </xf>
    <xf numFmtId="0" fontId="66" fillId="33" borderId="0" xfId="0" applyFont="1" applyFill="1" applyBorder="1" applyAlignment="1" applyProtection="1">
      <alignment horizontal="center"/>
      <protection/>
    </xf>
    <xf numFmtId="0" fontId="75" fillId="33" borderId="14" xfId="0" applyFont="1" applyFill="1" applyBorder="1" applyAlignment="1" applyProtection="1">
      <alignment horizontal="left" wrapText="1"/>
      <protection/>
    </xf>
    <xf numFmtId="0" fontId="75" fillId="33" borderId="0" xfId="0" applyFont="1" applyFill="1" applyBorder="1" applyAlignment="1" applyProtection="1">
      <alignment horizontal="left" wrapText="1"/>
      <protection/>
    </xf>
    <xf numFmtId="0" fontId="75" fillId="33" borderId="0" xfId="0" applyFont="1" applyFill="1" applyAlignment="1" applyProtection="1">
      <alignment horizontal="left" vertical="top" wrapText="1"/>
      <protection/>
    </xf>
    <xf numFmtId="0" fontId="75" fillId="33" borderId="0" xfId="0" applyFont="1" applyFill="1" applyAlignment="1" applyProtection="1">
      <alignment horizontal="left" wrapText="1"/>
      <protection/>
    </xf>
    <xf numFmtId="0" fontId="64" fillId="34" borderId="10" xfId="0" applyFont="1" applyFill="1" applyBorder="1" applyAlignment="1" applyProtection="1">
      <alignment horizontal="center" wrapText="1"/>
      <protection/>
    </xf>
    <xf numFmtId="0" fontId="64" fillId="34" borderId="11" xfId="0" applyFont="1" applyFill="1" applyBorder="1" applyAlignment="1" applyProtection="1">
      <alignment horizontal="center" vertical="center"/>
      <protection/>
    </xf>
    <xf numFmtId="0" fontId="64" fillId="34" borderId="10" xfId="0" applyFont="1" applyFill="1" applyBorder="1" applyAlignment="1" applyProtection="1">
      <alignment horizontal="center" vertical="center"/>
      <protection/>
    </xf>
    <xf numFmtId="0" fontId="64" fillId="34" borderId="12" xfId="0" applyFont="1" applyFill="1" applyBorder="1" applyAlignment="1" applyProtection="1">
      <alignment horizontal="center" vertical="center"/>
      <protection/>
    </xf>
    <xf numFmtId="0" fontId="65" fillId="33" borderId="16" xfId="0" applyFont="1" applyFill="1" applyBorder="1" applyAlignment="1" applyProtection="1">
      <alignment wrapText="1"/>
      <protection/>
    </xf>
    <xf numFmtId="0" fontId="65" fillId="33" borderId="14" xfId="0" applyFont="1" applyFill="1" applyBorder="1" applyAlignment="1" applyProtection="1">
      <alignment horizontal="center" wrapText="1"/>
      <protection/>
    </xf>
    <xf numFmtId="0" fontId="63" fillId="33" borderId="13" xfId="0" applyFont="1" applyFill="1" applyBorder="1" applyAlignment="1" applyProtection="1">
      <alignment/>
      <protection/>
    </xf>
    <xf numFmtId="0" fontId="66" fillId="33" borderId="15" xfId="0" applyFont="1" applyFill="1" applyBorder="1" applyAlignment="1" applyProtection="1">
      <alignment horizontal="center"/>
      <protection/>
    </xf>
    <xf numFmtId="0" fontId="63" fillId="33" borderId="16" xfId="0" applyFont="1" applyFill="1" applyBorder="1" applyAlignment="1" applyProtection="1">
      <alignment horizontal="left" wrapText="1" indent="2"/>
      <protection/>
    </xf>
    <xf numFmtId="0" fontId="6" fillId="9" borderId="0" xfId="0" applyFont="1" applyFill="1" applyBorder="1" applyAlignment="1" applyProtection="1">
      <alignment horizontal="center" wrapText="1"/>
      <protection locked="0"/>
    </xf>
    <xf numFmtId="2" fontId="63" fillId="33" borderId="17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66" fillId="33" borderId="17" xfId="0" applyFont="1" applyFill="1" applyBorder="1" applyAlignment="1" applyProtection="1">
      <alignment horizontal="center"/>
      <protection/>
    </xf>
    <xf numFmtId="0" fontId="76" fillId="33" borderId="0" xfId="0" applyFont="1" applyFill="1" applyBorder="1" applyAlignment="1" applyProtection="1">
      <alignment horizontal="center" wrapText="1"/>
      <protection/>
    </xf>
    <xf numFmtId="2" fontId="63" fillId="33" borderId="0" xfId="0" applyNumberFormat="1" applyFont="1" applyFill="1" applyBorder="1" applyAlignment="1" applyProtection="1">
      <alignment horizontal="center" wrapText="1"/>
      <protection/>
    </xf>
    <xf numFmtId="2" fontId="66" fillId="33" borderId="17" xfId="0" applyNumberFormat="1" applyFont="1" applyFill="1" applyBorder="1" applyAlignment="1" applyProtection="1">
      <alignment horizontal="center"/>
      <protection/>
    </xf>
    <xf numFmtId="0" fontId="66" fillId="9" borderId="0" xfId="0" applyFont="1" applyFill="1" applyBorder="1" applyAlignment="1" applyProtection="1">
      <alignment horizontal="center"/>
      <protection locked="0"/>
    </xf>
    <xf numFmtId="0" fontId="67" fillId="33" borderId="0" xfId="0" applyFont="1" applyFill="1" applyBorder="1" applyAlignment="1" applyProtection="1">
      <alignment horizontal="center" wrapText="1"/>
      <protection/>
    </xf>
    <xf numFmtId="2" fontId="63" fillId="33" borderId="19" xfId="0" applyNumberFormat="1" applyFont="1" applyFill="1" applyBorder="1" applyAlignment="1" applyProtection="1">
      <alignment horizontal="center"/>
      <protection/>
    </xf>
    <xf numFmtId="0" fontId="73" fillId="33" borderId="0" xfId="0" applyFont="1" applyFill="1" applyBorder="1" applyAlignment="1" applyProtection="1">
      <alignment horizontal="center"/>
      <protection/>
    </xf>
    <xf numFmtId="0" fontId="66" fillId="33" borderId="20" xfId="0" applyFont="1" applyFill="1" applyBorder="1" applyAlignment="1" applyProtection="1">
      <alignment horizontal="center"/>
      <protection/>
    </xf>
    <xf numFmtId="0" fontId="63" fillId="33" borderId="13" xfId="0" applyFont="1" applyFill="1" applyBorder="1" applyAlignment="1" applyProtection="1">
      <alignment/>
      <protection/>
    </xf>
    <xf numFmtId="0" fontId="63" fillId="33" borderId="14" xfId="0" applyFont="1" applyFill="1" applyBorder="1" applyAlignment="1" applyProtection="1">
      <alignment/>
      <protection/>
    </xf>
    <xf numFmtId="0" fontId="63" fillId="33" borderId="18" xfId="0" applyFont="1" applyFill="1" applyBorder="1" applyAlignment="1" applyProtection="1">
      <alignment/>
      <protection/>
    </xf>
    <xf numFmtId="0" fontId="63" fillId="33" borderId="20" xfId="0" applyFont="1" applyFill="1" applyBorder="1" applyAlignment="1" applyProtection="1">
      <alignment/>
      <protection/>
    </xf>
    <xf numFmtId="0" fontId="6" fillId="9" borderId="19" xfId="0" applyFont="1" applyFill="1" applyBorder="1" applyAlignment="1" applyProtection="1">
      <alignment horizontal="center"/>
      <protection locked="0"/>
    </xf>
    <xf numFmtId="0" fontId="63" fillId="33" borderId="19" xfId="0" applyFont="1" applyFill="1" applyBorder="1" applyAlignment="1" applyProtection="1">
      <alignment horizontal="center"/>
      <protection/>
    </xf>
    <xf numFmtId="0" fontId="65" fillId="33" borderId="0" xfId="0" applyFont="1" applyFill="1" applyAlignment="1" applyProtection="1">
      <alignment/>
      <protection/>
    </xf>
    <xf numFmtId="0" fontId="65" fillId="33" borderId="0" xfId="0" applyFont="1" applyFill="1" applyAlignment="1" applyProtection="1">
      <alignment horizontal="center"/>
      <protection/>
    </xf>
    <xf numFmtId="0" fontId="63" fillId="33" borderId="15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66" fillId="9" borderId="16" xfId="0" applyFont="1" applyFill="1" applyBorder="1" applyAlignment="1" applyProtection="1">
      <alignment/>
      <protection locked="0"/>
    </xf>
    <xf numFmtId="0" fontId="66" fillId="9" borderId="18" xfId="0" applyFont="1" applyFill="1" applyBorder="1" applyAlignment="1" applyProtection="1">
      <alignment/>
      <protection locked="0"/>
    </xf>
    <xf numFmtId="0" fontId="67" fillId="33" borderId="0" xfId="0" applyFont="1" applyFill="1" applyBorder="1" applyAlignment="1" applyProtection="1">
      <alignment horizontal="left" wrapText="1"/>
      <protection/>
    </xf>
    <xf numFmtId="0" fontId="73" fillId="33" borderId="0" xfId="0" applyFont="1" applyFill="1" applyBorder="1" applyAlignment="1" applyProtection="1">
      <alignment/>
      <protection/>
    </xf>
    <xf numFmtId="0" fontId="73" fillId="33" borderId="20" xfId="0" applyFont="1" applyFill="1" applyBorder="1" applyAlignment="1" applyProtection="1">
      <alignment horizontal="center"/>
      <protection/>
    </xf>
    <xf numFmtId="0" fontId="63" fillId="33" borderId="14" xfId="0" applyFont="1" applyFill="1" applyBorder="1" applyAlignment="1" applyProtection="1">
      <alignment horizontal="center"/>
      <protection/>
    </xf>
    <xf numFmtId="181" fontId="6" fillId="9" borderId="17" xfId="0" applyNumberFormat="1" applyFont="1" applyFill="1" applyBorder="1" applyAlignment="1" applyProtection="1">
      <alignment horizontal="center"/>
      <protection locked="0"/>
    </xf>
    <xf numFmtId="0" fontId="63" fillId="33" borderId="20" xfId="0" applyFont="1" applyFill="1" applyBorder="1" applyAlignment="1" applyProtection="1">
      <alignment horizontal="center"/>
      <protection/>
    </xf>
    <xf numFmtId="0" fontId="68" fillId="34" borderId="10" xfId="0" applyFont="1" applyFill="1" applyBorder="1" applyAlignment="1" applyProtection="1">
      <alignment horizontal="center" wrapText="1"/>
      <protection/>
    </xf>
    <xf numFmtId="0" fontId="64" fillId="34" borderId="11" xfId="0" applyFont="1" applyFill="1" applyBorder="1" applyAlignment="1" applyProtection="1">
      <alignment horizontal="center" wrapText="1"/>
      <protection/>
    </xf>
    <xf numFmtId="0" fontId="68" fillId="34" borderId="11" xfId="0" applyFont="1" applyFill="1" applyBorder="1" applyAlignment="1" applyProtection="1">
      <alignment horizontal="center"/>
      <protection/>
    </xf>
    <xf numFmtId="0" fontId="63" fillId="33" borderId="13" xfId="0" applyFont="1" applyFill="1" applyBorder="1" applyAlignment="1" applyProtection="1">
      <alignment wrapText="1"/>
      <protection/>
    </xf>
    <xf numFmtId="0" fontId="6" fillId="9" borderId="14" xfId="0" applyFont="1" applyFill="1" applyBorder="1" applyAlignment="1" applyProtection="1">
      <alignment horizontal="center" wrapText="1"/>
      <protection locked="0"/>
    </xf>
    <xf numFmtId="9" fontId="6" fillId="9" borderId="0" xfId="0" applyNumberFormat="1" applyFont="1" applyFill="1" applyBorder="1" applyAlignment="1" applyProtection="1">
      <alignment horizontal="center"/>
      <protection locked="0"/>
    </xf>
    <xf numFmtId="177" fontId="63" fillId="33" borderId="15" xfId="0" applyNumberFormat="1" applyFont="1" applyFill="1" applyBorder="1" applyAlignment="1" applyProtection="1">
      <alignment horizontal="center"/>
      <protection/>
    </xf>
    <xf numFmtId="0" fontId="6" fillId="9" borderId="16" xfId="0" applyFont="1" applyFill="1" applyBorder="1" applyAlignment="1" applyProtection="1">
      <alignment wrapText="1"/>
      <protection locked="0"/>
    </xf>
    <xf numFmtId="0" fontId="63" fillId="33" borderId="0" xfId="0" applyFont="1" applyFill="1" applyBorder="1" applyAlignment="1" applyProtection="1">
      <alignment horizontal="center" wrapText="1"/>
      <protection/>
    </xf>
    <xf numFmtId="177" fontId="63" fillId="33" borderId="17" xfId="0" applyNumberFormat="1" applyFont="1" applyFill="1" applyBorder="1" applyAlignment="1" applyProtection="1">
      <alignment horizontal="center"/>
      <protection/>
    </xf>
    <xf numFmtId="0" fontId="6" fillId="9" borderId="16" xfId="0" applyFont="1" applyFill="1" applyBorder="1" applyAlignment="1" applyProtection="1">
      <alignment/>
      <protection locked="0"/>
    </xf>
    <xf numFmtId="0" fontId="6" fillId="9" borderId="18" xfId="0" applyFont="1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>
      <alignment horizontal="center"/>
      <protection/>
    </xf>
    <xf numFmtId="9" fontId="6" fillId="9" borderId="20" xfId="0" applyNumberFormat="1" applyFont="1" applyFill="1" applyBorder="1" applyAlignment="1" applyProtection="1">
      <alignment horizontal="center"/>
      <protection locked="0"/>
    </xf>
    <xf numFmtId="0" fontId="68" fillId="34" borderId="10" xfId="0" applyFont="1" applyFill="1" applyBorder="1" applyAlignment="1" applyProtection="1">
      <alignment/>
      <protection/>
    </xf>
    <xf numFmtId="0" fontId="68" fillId="34" borderId="11" xfId="0" applyFont="1" applyFill="1" applyBorder="1" applyAlignment="1" applyProtection="1">
      <alignment/>
      <protection/>
    </xf>
    <xf numFmtId="9" fontId="66" fillId="9" borderId="0" xfId="20" applyFont="1" applyFill="1" applyBorder="1" applyAlignment="1" applyProtection="1">
      <alignment horizontal="center"/>
      <protection locked="0"/>
    </xf>
    <xf numFmtId="177" fontId="7" fillId="33" borderId="17" xfId="20" applyNumberFormat="1" applyFont="1" applyFill="1" applyBorder="1" applyAlignment="1" applyProtection="1">
      <alignment horizontal="center"/>
      <protection/>
    </xf>
    <xf numFmtId="9" fontId="6" fillId="9" borderId="0" xfId="20" applyFont="1" applyFill="1" applyBorder="1" applyAlignment="1" applyProtection="1">
      <alignment horizontal="center"/>
      <protection locked="0"/>
    </xf>
    <xf numFmtId="9" fontId="6" fillId="9" borderId="14" xfId="20" applyFont="1" applyFill="1" applyBorder="1" applyAlignment="1" applyProtection="1">
      <alignment horizontal="center"/>
      <protection locked="0"/>
    </xf>
    <xf numFmtId="177" fontId="63" fillId="33" borderId="15" xfId="0" applyNumberFormat="1" applyFont="1" applyFill="1" applyBorder="1" applyAlignment="1" applyProtection="1">
      <alignment/>
      <protection/>
    </xf>
    <xf numFmtId="9" fontId="6" fillId="9" borderId="20" xfId="20" applyFont="1" applyFill="1" applyBorder="1" applyAlignment="1" applyProtection="1">
      <alignment horizontal="center"/>
      <protection locked="0"/>
    </xf>
    <xf numFmtId="177" fontId="63" fillId="33" borderId="19" xfId="0" applyNumberFormat="1" applyFont="1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left"/>
      <protection/>
    </xf>
    <xf numFmtId="9" fontId="6" fillId="9" borderId="19" xfId="2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/>
    </xf>
    <xf numFmtId="0" fontId="68" fillId="34" borderId="10" xfId="0" applyFont="1" applyFill="1" applyBorder="1" applyAlignment="1" applyProtection="1">
      <alignment horizontal="left"/>
      <protection/>
    </xf>
    <xf numFmtId="0" fontId="68" fillId="34" borderId="11" xfId="0" applyFont="1" applyFill="1" applyBorder="1" applyAlignment="1" applyProtection="1">
      <alignment horizontal="left"/>
      <protection/>
    </xf>
    <xf numFmtId="0" fontId="63" fillId="33" borderId="0" xfId="0" applyFont="1" applyFill="1" applyAlignment="1" applyProtection="1">
      <alignment vertical="center" wrapText="1"/>
      <protection/>
    </xf>
    <xf numFmtId="0" fontId="66" fillId="33" borderId="0" xfId="0" applyFont="1" applyFill="1" applyAlignment="1" applyProtection="1">
      <alignment vertical="center" wrapText="1"/>
      <protection/>
    </xf>
    <xf numFmtId="0" fontId="66" fillId="6" borderId="29" xfId="0" applyFont="1" applyFill="1" applyBorder="1" applyAlignment="1" applyProtection="1">
      <alignment horizontal="left" vertical="center" wrapText="1"/>
      <protection/>
    </xf>
    <xf numFmtId="0" fontId="2" fillId="6" borderId="34" xfId="0" applyFont="1" applyFill="1" applyBorder="1" applyAlignment="1" applyProtection="1">
      <alignment horizontal="justify" vertical="center" wrapText="1"/>
      <protection/>
    </xf>
    <xf numFmtId="0" fontId="63" fillId="6" borderId="34" xfId="0" applyFont="1" applyFill="1" applyBorder="1" applyAlignment="1" applyProtection="1">
      <alignment horizontal="justify" vertical="center" wrapText="1"/>
      <protection/>
    </xf>
    <xf numFmtId="0" fontId="63" fillId="6" borderId="30" xfId="0" applyFont="1" applyFill="1" applyBorder="1" applyAlignment="1" applyProtection="1">
      <alignment horizontal="justify" vertical="center" wrapText="1"/>
      <protection/>
    </xf>
    <xf numFmtId="0" fontId="63" fillId="33" borderId="0" xfId="0" applyFont="1" applyFill="1" applyAlignment="1" applyProtection="1">
      <alignment horizontal="justify" vertical="center" wrapText="1"/>
      <protection/>
    </xf>
    <xf numFmtId="0" fontId="77" fillId="33" borderId="0" xfId="0" applyFont="1" applyFill="1" applyAlignment="1" applyProtection="1">
      <alignment horizontal="justify" vertical="center" wrapText="1"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Proporção dos custos no custo total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5"/>
          <c:y val="0.25225"/>
          <c:w val="0.462"/>
          <c:h val="0.6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'RESUMO CUSTOS'!$J$8:$J$10</c:f>
              <c:strCache/>
            </c:strRef>
          </c:cat>
          <c:val>
            <c:numRef>
              <c:f>'RESUMO CUSTOS'!$K$8:$K$10</c:f>
              <c:numCache/>
            </c:numRef>
          </c:val>
        </c:ser>
      </c:pie3DChart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Origem das receitas</a:t>
            </a:r>
          </a:p>
        </c:rich>
      </c:tx>
      <c:layout/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2"/>
          <c:w val="0.39725"/>
          <c:h val="0.67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LUCRATIVIDADE!$G$24:$G$26</c:f>
              <c:strCache/>
            </c:strRef>
          </c:cat>
          <c:val>
            <c:numRef>
              <c:f>LUCRATIVIDADE!$H$24:$H$26</c:f>
              <c:numCache/>
            </c:numRef>
          </c:val>
        </c:ser>
      </c:pie3DChart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60425"/>
          <c:y val="0.37625"/>
          <c:w val="0.386"/>
          <c:h val="0.3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1933575</xdr:colOff>
      <xdr:row>0</xdr:row>
      <xdr:rowOff>190500</xdr:rowOff>
    </xdr:from>
    <xdr:to>
      <xdr:col>1</xdr:col>
      <xdr:colOff>1943100</xdr:colOff>
      <xdr:row>4</xdr:row>
      <xdr:rowOff>190500</xdr:rowOff>
    </xdr:to>
    <xdr:pic>
      <xdr:nvPicPr>
        <xdr:cNvPr id="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10515600</xdr:colOff>
      <xdr:row>0</xdr:row>
      <xdr:rowOff>95250</xdr:rowOff>
    </xdr:from>
    <xdr:to>
      <xdr:col>1</xdr:col>
      <xdr:colOff>10525125</xdr:colOff>
      <xdr:row>5</xdr:row>
      <xdr:rowOff>76200</xdr:rowOff>
    </xdr:to>
    <xdr:pic>
      <xdr:nvPicPr>
        <xdr:cNvPr id="2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9525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1914525</xdr:colOff>
      <xdr:row>1</xdr:row>
      <xdr:rowOff>28575</xdr:rowOff>
    </xdr:from>
    <xdr:to>
      <xdr:col>1</xdr:col>
      <xdr:colOff>10163175</xdr:colOff>
      <xdr:row>5</xdr:row>
      <xdr:rowOff>171450</xdr:rowOff>
    </xdr:to>
    <xdr:pic>
      <xdr:nvPicPr>
        <xdr:cNvPr id="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247650"/>
          <a:ext cx="8248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47625</xdr:rowOff>
    </xdr:from>
    <xdr:to>
      <xdr:col>1</xdr:col>
      <xdr:colOff>1647825</xdr:colOff>
      <xdr:row>5</xdr:row>
      <xdr:rowOff>47625</xdr:rowOff>
    </xdr:to>
    <xdr:pic>
      <xdr:nvPicPr>
        <xdr:cNvPr id="4" name="Picture 3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485775"/>
          <a:ext cx="1647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10506075</xdr:colOff>
      <xdr:row>0</xdr:row>
      <xdr:rowOff>152400</xdr:rowOff>
    </xdr:from>
    <xdr:to>
      <xdr:col>1</xdr:col>
      <xdr:colOff>11753850</xdr:colOff>
      <xdr:row>6</xdr:row>
      <xdr:rowOff>85725</xdr:rowOff>
    </xdr:to>
    <xdr:pic>
      <xdr:nvPicPr>
        <xdr:cNvPr id="5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15650" y="152400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1685925</xdr:colOff>
      <xdr:row>2</xdr:row>
      <xdr:rowOff>0</xdr:rowOff>
    </xdr:from>
    <xdr:to>
      <xdr:col>4</xdr:col>
      <xdr:colOff>609600</xdr:colOff>
      <xdr:row>5</xdr:row>
      <xdr:rowOff>0</xdr:rowOff>
    </xdr:to>
    <xdr:pic>
      <xdr:nvPicPr>
        <xdr:cNvPr id="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438150"/>
          <a:ext cx="5334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</xdr:row>
      <xdr:rowOff>133350</xdr:rowOff>
    </xdr:from>
    <xdr:to>
      <xdr:col>0</xdr:col>
      <xdr:colOff>1228725</xdr:colOff>
      <xdr:row>4</xdr:row>
      <xdr:rowOff>142875</xdr:rowOff>
    </xdr:to>
    <xdr:pic>
      <xdr:nvPicPr>
        <xdr:cNvPr id="2" name="Picture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71500"/>
          <a:ext cx="1114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1</xdr:row>
      <xdr:rowOff>76200</xdr:rowOff>
    </xdr:from>
    <xdr:to>
      <xdr:col>4</xdr:col>
      <xdr:colOff>1990725</xdr:colOff>
      <xdr:row>5</xdr:row>
      <xdr:rowOff>142875</xdr:rowOff>
    </xdr:to>
    <xdr:pic>
      <xdr:nvPicPr>
        <xdr:cNvPr id="3" name="Picture 7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58075" y="295275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1428750</xdr:colOff>
      <xdr:row>1</xdr:row>
      <xdr:rowOff>38100</xdr:rowOff>
    </xdr:from>
    <xdr:to>
      <xdr:col>6</xdr:col>
      <xdr:colOff>142875</xdr:colOff>
      <xdr:row>4</xdr:row>
      <xdr:rowOff>47625</xdr:rowOff>
    </xdr:to>
    <xdr:pic>
      <xdr:nvPicPr>
        <xdr:cNvPr id="1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257175"/>
          <a:ext cx="5314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</xdr:row>
      <xdr:rowOff>161925</xdr:rowOff>
    </xdr:from>
    <xdr:to>
      <xdr:col>0</xdr:col>
      <xdr:colOff>1352550</xdr:colOff>
      <xdr:row>3</xdr:row>
      <xdr:rowOff>180975</xdr:rowOff>
    </xdr:to>
    <xdr:pic>
      <xdr:nvPicPr>
        <xdr:cNvPr id="2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81000"/>
          <a:ext cx="1114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123825</xdr:rowOff>
    </xdr:from>
    <xdr:to>
      <xdr:col>8</xdr:col>
      <xdr:colOff>9525</xdr:colOff>
      <xdr:row>4</xdr:row>
      <xdr:rowOff>200025</xdr:rowOff>
    </xdr:to>
    <xdr:pic>
      <xdr:nvPicPr>
        <xdr:cNvPr id="3" name="Picture 2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6575" y="12382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1133475</xdr:colOff>
      <xdr:row>1</xdr:row>
      <xdr:rowOff>38100</xdr:rowOff>
    </xdr:from>
    <xdr:to>
      <xdr:col>9</xdr:col>
      <xdr:colOff>1514475</xdr:colOff>
      <xdr:row>4</xdr:row>
      <xdr:rowOff>0</xdr:rowOff>
    </xdr:to>
    <xdr:pic>
      <xdr:nvPicPr>
        <xdr:cNvPr id="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76225"/>
          <a:ext cx="5314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</xdr:row>
      <xdr:rowOff>180975</xdr:rowOff>
    </xdr:from>
    <xdr:to>
      <xdr:col>6</xdr:col>
      <xdr:colOff>676275</xdr:colOff>
      <xdr:row>3</xdr:row>
      <xdr:rowOff>161925</xdr:rowOff>
    </xdr:to>
    <xdr:pic>
      <xdr:nvPicPr>
        <xdr:cNvPr id="2" name="Picture 9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419100"/>
          <a:ext cx="1114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133350</xdr:rowOff>
    </xdr:from>
    <xdr:to>
      <xdr:col>11</xdr:col>
      <xdr:colOff>1143000</xdr:colOff>
      <xdr:row>4</xdr:row>
      <xdr:rowOff>142875</xdr:rowOff>
    </xdr:to>
    <xdr:pic>
      <xdr:nvPicPr>
        <xdr:cNvPr id="3" name="Picture 9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96375" y="133350"/>
          <a:ext cx="942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6</xdr:row>
      <xdr:rowOff>0</xdr:rowOff>
    </xdr:from>
    <xdr:to>
      <xdr:col>8</xdr:col>
      <xdr:colOff>190500</xdr:colOff>
      <xdr:row>20</xdr:row>
      <xdr:rowOff>76200</xdr:rowOff>
    </xdr:to>
    <xdr:graphicFrame>
      <xdr:nvGraphicFramePr>
        <xdr:cNvPr id="1" name="Chart 264"/>
        <xdr:cNvGraphicFramePr/>
      </xdr:nvGraphicFramePr>
      <xdr:xfrm>
        <a:off x="457200" y="1314450"/>
        <a:ext cx="4457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257175</xdr:colOff>
      <xdr:row>1</xdr:row>
      <xdr:rowOff>95250</xdr:rowOff>
    </xdr:from>
    <xdr:to>
      <xdr:col>10</xdr:col>
      <xdr:colOff>876300</xdr:colOff>
      <xdr:row>4</xdr:row>
      <xdr:rowOff>104775</xdr:rowOff>
    </xdr:to>
    <xdr:pic>
      <xdr:nvPicPr>
        <xdr:cNvPr id="2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314325"/>
          <a:ext cx="5314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38100</xdr:rowOff>
    </xdr:from>
    <xdr:to>
      <xdr:col>3</xdr:col>
      <xdr:colOff>523875</xdr:colOff>
      <xdr:row>4</xdr:row>
      <xdr:rowOff>57150</xdr:rowOff>
    </xdr:to>
    <xdr:pic>
      <xdr:nvPicPr>
        <xdr:cNvPr id="3" name="Picture 2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476250"/>
          <a:ext cx="1114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1476375</xdr:colOff>
      <xdr:row>0</xdr:row>
      <xdr:rowOff>142875</xdr:rowOff>
    </xdr:from>
    <xdr:to>
      <xdr:col>11</xdr:col>
      <xdr:colOff>771525</xdr:colOff>
      <xdr:row>5</xdr:row>
      <xdr:rowOff>0</xdr:rowOff>
    </xdr:to>
    <xdr:pic>
      <xdr:nvPicPr>
        <xdr:cNvPr id="4" name="Picture 2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58200" y="1428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942975</xdr:colOff>
      <xdr:row>1</xdr:row>
      <xdr:rowOff>0</xdr:rowOff>
    </xdr:from>
    <xdr:to>
      <xdr:col>6</xdr:col>
      <xdr:colOff>981075</xdr:colOff>
      <xdr:row>4</xdr:row>
      <xdr:rowOff>9525</xdr:rowOff>
    </xdr:to>
    <xdr:pic>
      <xdr:nvPicPr>
        <xdr:cNvPr id="1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19075"/>
          <a:ext cx="5324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1</xdr:row>
      <xdr:rowOff>133350</xdr:rowOff>
    </xdr:from>
    <xdr:to>
      <xdr:col>2</xdr:col>
      <xdr:colOff>723900</xdr:colOff>
      <xdr:row>3</xdr:row>
      <xdr:rowOff>152400</xdr:rowOff>
    </xdr:to>
    <xdr:pic>
      <xdr:nvPicPr>
        <xdr:cNvPr id="2" name="Picture 7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352425"/>
          <a:ext cx="1114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1409700</xdr:colOff>
      <xdr:row>0</xdr:row>
      <xdr:rowOff>76200</xdr:rowOff>
    </xdr:from>
    <xdr:to>
      <xdr:col>7</xdr:col>
      <xdr:colOff>304800</xdr:colOff>
      <xdr:row>4</xdr:row>
      <xdr:rowOff>152400</xdr:rowOff>
    </xdr:to>
    <xdr:pic>
      <xdr:nvPicPr>
        <xdr:cNvPr id="3" name="Picture 7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76200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</xdr:row>
      <xdr:rowOff>85725</xdr:rowOff>
    </xdr:from>
    <xdr:to>
      <xdr:col>9</xdr:col>
      <xdr:colOff>228600</xdr:colOff>
      <xdr:row>34</xdr:row>
      <xdr:rowOff>0</xdr:rowOff>
    </xdr:to>
    <xdr:graphicFrame>
      <xdr:nvGraphicFramePr>
        <xdr:cNvPr id="4" name="Chart 751"/>
        <xdr:cNvGraphicFramePr/>
      </xdr:nvGraphicFramePr>
      <xdr:xfrm>
        <a:off x="6981825" y="4552950"/>
        <a:ext cx="5143500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32"/>
  <sheetViews>
    <sheetView workbookViewId="0" topLeftCell="B1">
      <selection activeCell="B1" sqref="A1:IV16384"/>
    </sheetView>
  </sheetViews>
  <sheetFormatPr defaultColWidth="9.140625" defaultRowHeight="15"/>
  <cols>
    <col min="1" max="1" width="6.140625" style="302" customWidth="1"/>
    <col min="2" max="2" width="177.421875" style="302" customWidth="1"/>
    <col min="3" max="16384" width="9.140625" style="302" customWidth="1"/>
  </cols>
  <sheetData>
    <row r="1" ht="17.25"/>
    <row r="2" ht="17.25"/>
    <row r="3" ht="17.25"/>
    <row r="4" ht="17.25"/>
    <row r="5" ht="17.25"/>
    <row r="6" ht="17.25"/>
    <row r="7" ht="17.25"/>
    <row r="8" ht="17.25">
      <c r="B8" s="303" t="s">
        <v>0</v>
      </c>
    </row>
    <row r="9" ht="17.25">
      <c r="B9" s="303" t="s">
        <v>1</v>
      </c>
    </row>
    <row r="11" ht="18">
      <c r="B11" s="185" t="s">
        <v>2</v>
      </c>
    </row>
    <row r="12" ht="51.75">
      <c r="B12" s="304" t="s">
        <v>3</v>
      </c>
    </row>
    <row r="13" ht="103.5">
      <c r="B13" s="305" t="s">
        <v>4</v>
      </c>
    </row>
    <row r="14" ht="269.25" customHeight="1">
      <c r="B14" s="306" t="s">
        <v>5</v>
      </c>
    </row>
    <row r="15" ht="86.25">
      <c r="B15" s="305" t="s">
        <v>6</v>
      </c>
    </row>
    <row r="16" ht="65.25" customHeight="1">
      <c r="B16" s="306" t="s">
        <v>7</v>
      </c>
    </row>
    <row r="17" ht="93" customHeight="1">
      <c r="B17" s="307" t="s">
        <v>8</v>
      </c>
    </row>
    <row r="18" ht="17.25">
      <c r="B18" s="308"/>
    </row>
    <row r="19" ht="17.25">
      <c r="B19" s="308"/>
    </row>
    <row r="20" ht="17.25">
      <c r="B20" s="308"/>
    </row>
    <row r="21" ht="17.25">
      <c r="B21" s="308"/>
    </row>
    <row r="22" ht="17.25">
      <c r="B22" s="308"/>
    </row>
    <row r="23" ht="17.25">
      <c r="B23" s="308"/>
    </row>
    <row r="24" ht="17.25">
      <c r="B24" s="308"/>
    </row>
    <row r="25" ht="17.25">
      <c r="B25" s="309"/>
    </row>
    <row r="26" ht="17.25">
      <c r="B26" s="308"/>
    </row>
    <row r="27" ht="17.25">
      <c r="B27" s="308"/>
    </row>
    <row r="28" ht="17.25">
      <c r="B28" s="309"/>
    </row>
    <row r="29" ht="17.25">
      <c r="B29" s="308"/>
    </row>
    <row r="30" ht="17.25">
      <c r="B30" s="309"/>
    </row>
    <row r="31" ht="17.25">
      <c r="B31" s="308"/>
    </row>
    <row r="32" ht="17.25">
      <c r="B32" s="308"/>
    </row>
  </sheetData>
  <sheetProtection password="D03F" sheet="1" objects="1" scenarios="1" selectLockedCells="1" selectUnlockedCells="1"/>
  <printOptions/>
  <pageMargins left="0.51" right="0.51" top="0.79" bottom="0.79" header="0.31" footer="0.31"/>
  <pageSetup horizontalDpi="600" verticalDpi="600" orientation="portrait" paperSize="9" scale="83"/>
  <rowBreaks count="1" manualBreakCount="1">
    <brk id="17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J175"/>
  <sheetViews>
    <sheetView zoomScale="85" zoomScaleNormal="85" workbookViewId="0" topLeftCell="A1">
      <selection activeCell="D12" sqref="D12"/>
    </sheetView>
  </sheetViews>
  <sheetFormatPr defaultColWidth="9.140625" defaultRowHeight="15"/>
  <cols>
    <col min="1" max="1" width="26.00390625" style="1" customWidth="1"/>
    <col min="2" max="2" width="12.00390625" style="2" customWidth="1"/>
    <col min="3" max="3" width="16.140625" style="2" customWidth="1"/>
    <col min="4" max="4" width="42.00390625" style="1" customWidth="1"/>
    <col min="5" max="5" width="31.00390625" style="1" customWidth="1"/>
    <col min="6" max="6" width="22.421875" style="1" bestFit="1" customWidth="1"/>
    <col min="7" max="7" width="27.57421875" style="1" customWidth="1"/>
    <col min="8" max="8" width="19.421875" style="1" customWidth="1"/>
    <col min="9" max="16384" width="9.140625" style="1" customWidth="1"/>
  </cols>
  <sheetData>
    <row r="1" ht="17.25"/>
    <row r="2" ht="17.25"/>
    <row r="3" ht="17.25"/>
    <row r="4" ht="17.25"/>
    <row r="5" ht="17.25"/>
    <row r="6" ht="17.25"/>
    <row r="7" spans="1:6" ht="17.25">
      <c r="A7" s="180" t="s">
        <v>9</v>
      </c>
      <c r="B7" s="180"/>
      <c r="C7" s="180"/>
      <c r="D7" s="180"/>
      <c r="E7" s="180"/>
      <c r="F7" s="181"/>
    </row>
    <row r="8" ht="9.75" customHeight="1"/>
    <row r="9" spans="1:10" s="179" customFormat="1" ht="35.25" customHeight="1">
      <c r="A9" s="182" t="s">
        <v>10</v>
      </c>
      <c r="B9" s="183" t="s">
        <v>11</v>
      </c>
      <c r="C9" s="183"/>
      <c r="D9" s="183" t="s">
        <v>12</v>
      </c>
      <c r="E9" s="184" t="s">
        <v>13</v>
      </c>
      <c r="F9" s="185" t="s">
        <v>14</v>
      </c>
      <c r="H9" s="186" t="s">
        <v>15</v>
      </c>
      <c r="I9" s="222"/>
      <c r="J9" s="223"/>
    </row>
    <row r="10" spans="1:6" ht="17.25">
      <c r="A10" s="187" t="s">
        <v>16</v>
      </c>
      <c r="B10" s="188"/>
      <c r="C10" s="115"/>
      <c r="D10" s="189"/>
      <c r="E10" s="190"/>
      <c r="F10" s="191"/>
    </row>
    <row r="11" spans="1:10" ht="17.25">
      <c r="A11" s="158" t="s">
        <v>17</v>
      </c>
      <c r="B11" s="192" t="s">
        <v>18</v>
      </c>
      <c r="C11" s="192"/>
      <c r="D11" s="193">
        <v>75</v>
      </c>
      <c r="E11" s="194">
        <v>0.01</v>
      </c>
      <c r="F11" s="195">
        <f>(12/'CUSTOS ANUAIS'!$M$17)*D11</f>
        <v>90</v>
      </c>
      <c r="H11" s="196" t="s">
        <v>19</v>
      </c>
      <c r="I11" s="202"/>
      <c r="J11" s="224">
        <f>'CUSTOS ANUAIS'!M20</f>
        <v>75</v>
      </c>
    </row>
    <row r="12" spans="1:10" ht="17.25">
      <c r="A12" s="158"/>
      <c r="B12" s="77" t="s">
        <v>20</v>
      </c>
      <c r="C12" s="77"/>
      <c r="D12" s="197">
        <v>0</v>
      </c>
      <c r="E12" s="198">
        <v>0</v>
      </c>
      <c r="F12" s="195">
        <f>(12/'CUSTOS ANUAIS'!$M$17)*D12</f>
        <v>0</v>
      </c>
      <c r="H12" s="170" t="s">
        <v>21</v>
      </c>
      <c r="I12" s="74"/>
      <c r="J12" s="225">
        <f>'CUSTOS ANUAIS'!M22</f>
        <v>140</v>
      </c>
    </row>
    <row r="13" spans="1:10" ht="17.25">
      <c r="A13" s="158"/>
      <c r="B13" s="199" t="s">
        <v>22</v>
      </c>
      <c r="C13" s="199"/>
      <c r="D13" s="13">
        <v>0</v>
      </c>
      <c r="E13" s="198">
        <v>0</v>
      </c>
      <c r="F13" s="195">
        <f>(12/'CUSTOS ANUAIS'!$M$17)*D13</f>
        <v>0</v>
      </c>
      <c r="H13" s="170" t="s">
        <v>23</v>
      </c>
      <c r="I13" s="74"/>
      <c r="J13" s="225">
        <v>90</v>
      </c>
    </row>
    <row r="14" spans="1:10" ht="17.25">
      <c r="A14" s="158"/>
      <c r="B14" s="199" t="s">
        <v>24</v>
      </c>
      <c r="C14" s="199"/>
      <c r="D14" s="13">
        <v>60</v>
      </c>
      <c r="E14" s="198">
        <v>2</v>
      </c>
      <c r="F14" s="195">
        <f>(12/'CUSTOS ANUAIS'!$M$17)*D14</f>
        <v>72</v>
      </c>
      <c r="G14" s="130"/>
      <c r="H14" s="170" t="s">
        <v>25</v>
      </c>
      <c r="I14" s="74"/>
      <c r="J14" s="225">
        <v>60</v>
      </c>
    </row>
    <row r="15" spans="1:10" ht="17.25">
      <c r="A15" s="158"/>
      <c r="B15" s="199" t="s">
        <v>22</v>
      </c>
      <c r="C15" s="199"/>
      <c r="D15" s="13">
        <v>0</v>
      </c>
      <c r="E15" s="198">
        <v>0</v>
      </c>
      <c r="F15" s="195">
        <f>(12/'CUSTOS ANUAIS'!$M$17)*D15</f>
        <v>0</v>
      </c>
      <c r="G15" s="130"/>
      <c r="H15" s="170" t="s">
        <v>26</v>
      </c>
      <c r="I15" s="74"/>
      <c r="J15" s="225">
        <f>J11</f>
        <v>75</v>
      </c>
    </row>
    <row r="16" spans="1:10" ht="17.25">
      <c r="A16" s="158"/>
      <c r="B16" s="199" t="s">
        <v>22</v>
      </c>
      <c r="C16" s="199"/>
      <c r="D16" s="13">
        <v>0</v>
      </c>
      <c r="E16" s="198">
        <v>0</v>
      </c>
      <c r="F16" s="195">
        <f>(12/'CUSTOS ANUAIS'!$M$17)*D16</f>
        <v>0</v>
      </c>
      <c r="G16" s="130"/>
      <c r="H16" s="200" t="s">
        <v>27</v>
      </c>
      <c r="I16" s="226"/>
      <c r="J16" s="227">
        <v>365</v>
      </c>
    </row>
    <row r="17" spans="1:9" ht="17.25">
      <c r="A17" s="158"/>
      <c r="B17" s="77" t="s">
        <v>28</v>
      </c>
      <c r="C17" s="77"/>
      <c r="D17" s="13">
        <v>60</v>
      </c>
      <c r="E17" s="198">
        <v>0.3</v>
      </c>
      <c r="F17" s="195">
        <f>(12/'CUSTOS ANUAIS'!$M$17)*D17</f>
        <v>72</v>
      </c>
      <c r="G17" s="130"/>
      <c r="H17" s="63"/>
      <c r="I17" s="228"/>
    </row>
    <row r="18" spans="1:9" ht="17.25">
      <c r="A18" s="201" t="s">
        <v>29</v>
      </c>
      <c r="B18" s="202" t="str">
        <f>$B$11</f>
        <v>Sal mineral</v>
      </c>
      <c r="C18" s="202"/>
      <c r="D18" s="203">
        <v>65</v>
      </c>
      <c r="E18" s="204">
        <v>0.015</v>
      </c>
      <c r="F18" s="205">
        <f>(12/'CUSTOS ANUAIS'!$M$17)*D18</f>
        <v>78</v>
      </c>
      <c r="G18" s="130"/>
      <c r="H18" s="63"/>
      <c r="I18" s="228"/>
    </row>
    <row r="19" spans="2:6" ht="17.25">
      <c r="B19" s="77" t="str">
        <f>$B$12</f>
        <v>Pastagem</v>
      </c>
      <c r="C19" s="77"/>
      <c r="D19" s="13">
        <v>0</v>
      </c>
      <c r="E19" s="206">
        <v>0</v>
      </c>
      <c r="F19" s="195">
        <f>(12/'CUSTOS ANUAIS'!$M$17)*D19</f>
        <v>0</v>
      </c>
    </row>
    <row r="20" spans="1:6" ht="17.25">
      <c r="A20" s="158"/>
      <c r="B20" s="77" t="str">
        <f>$B$13</f>
        <v>Outro alimento</v>
      </c>
      <c r="C20" s="77"/>
      <c r="D20" s="13">
        <v>0</v>
      </c>
      <c r="E20" s="198">
        <v>0</v>
      </c>
      <c r="F20" s="195">
        <f>(12/'CUSTOS ANUAIS'!$M$17)*D20</f>
        <v>0</v>
      </c>
    </row>
    <row r="21" spans="1:6" ht="17.25">
      <c r="A21" s="158"/>
      <c r="B21" s="77" t="str">
        <f>$B$14</f>
        <v>Cana de açúcar</v>
      </c>
      <c r="C21" s="77"/>
      <c r="D21" s="13">
        <v>65</v>
      </c>
      <c r="E21" s="198">
        <v>2.5</v>
      </c>
      <c r="F21" s="195">
        <f>(12/'CUSTOS ANUAIS'!$M$17)*D21</f>
        <v>78</v>
      </c>
    </row>
    <row r="22" spans="1:6" ht="17.25">
      <c r="A22" s="158"/>
      <c r="B22" s="77" t="str">
        <f>$B$15</f>
        <v>Outro alimento</v>
      </c>
      <c r="C22" s="77"/>
      <c r="D22" s="13">
        <v>0</v>
      </c>
      <c r="E22" s="198">
        <v>0</v>
      </c>
      <c r="F22" s="195">
        <f>(12/'CUSTOS ANUAIS'!$M$17)*D22</f>
        <v>0</v>
      </c>
    </row>
    <row r="23" spans="1:6" ht="17.25">
      <c r="A23" s="158"/>
      <c r="B23" s="77" t="str">
        <f>$B$16</f>
        <v>Outro alimento</v>
      </c>
      <c r="C23" s="77"/>
      <c r="D23" s="13">
        <v>0</v>
      </c>
      <c r="E23" s="198">
        <v>0</v>
      </c>
      <c r="F23" s="195">
        <f>(12/'CUSTOS ANUAIS'!$M$17)*D23</f>
        <v>0</v>
      </c>
    </row>
    <row r="24" spans="1:6" ht="17.25">
      <c r="A24" s="207"/>
      <c r="B24" s="208" t="s">
        <v>30</v>
      </c>
      <c r="C24" s="208"/>
      <c r="D24" s="25">
        <v>65</v>
      </c>
      <c r="E24" s="209">
        <v>0.5</v>
      </c>
      <c r="F24" s="195">
        <f>(12/'CUSTOS ANUAIS'!$M$17)*D24</f>
        <v>78</v>
      </c>
    </row>
    <row r="25" spans="1:6" ht="17.25">
      <c r="A25" s="187" t="s">
        <v>31</v>
      </c>
      <c r="B25" s="188"/>
      <c r="C25" s="115"/>
      <c r="D25" s="210"/>
      <c r="E25" s="211"/>
      <c r="F25" s="205"/>
    </row>
    <row r="26" spans="1:6" ht="17.25">
      <c r="A26" s="212" t="s">
        <v>32</v>
      </c>
      <c r="B26" s="119" t="str">
        <f>$B$11</f>
        <v>Sal mineral</v>
      </c>
      <c r="C26" s="119"/>
      <c r="D26" s="13">
        <v>90</v>
      </c>
      <c r="E26" s="213">
        <v>0.025</v>
      </c>
      <c r="F26" s="195">
        <f>(12/'CUSTOS ANUAIS'!$M$17)*D26</f>
        <v>108</v>
      </c>
    </row>
    <row r="27" spans="2:6" ht="17.25">
      <c r="B27" s="77" t="str">
        <f>$B$12</f>
        <v>Pastagem</v>
      </c>
      <c r="C27" s="77"/>
      <c r="D27" s="13">
        <v>90</v>
      </c>
      <c r="E27" s="213">
        <v>1.8</v>
      </c>
      <c r="F27" s="195">
        <f>(12/'CUSTOS ANUAIS'!$M$17)*D27</f>
        <v>108</v>
      </c>
    </row>
    <row r="28" spans="1:6" ht="17.25">
      <c r="A28" s="212"/>
      <c r="B28" s="77" t="str">
        <f>$B$13</f>
        <v>Outro alimento</v>
      </c>
      <c r="C28" s="77"/>
      <c r="D28" s="13">
        <v>0</v>
      </c>
      <c r="E28" s="213">
        <v>0</v>
      </c>
      <c r="F28" s="195">
        <f>(12/'CUSTOS ANUAIS'!$M$17)*D28</f>
        <v>0</v>
      </c>
    </row>
    <row r="29" spans="1:6" ht="17.25">
      <c r="A29" s="212"/>
      <c r="B29" s="77" t="str">
        <f>$B$14</f>
        <v>Cana de açúcar</v>
      </c>
      <c r="C29" s="77"/>
      <c r="D29" s="13">
        <v>45</v>
      </c>
      <c r="E29" s="213">
        <v>1.3</v>
      </c>
      <c r="F29" s="195">
        <f>(12/'CUSTOS ANUAIS'!$M$17)*D29</f>
        <v>54</v>
      </c>
    </row>
    <row r="30" spans="1:6" ht="17.25">
      <c r="A30" s="12"/>
      <c r="B30" s="77" t="str">
        <f>$B$15</f>
        <v>Outro alimento</v>
      </c>
      <c r="C30" s="77"/>
      <c r="D30" s="13">
        <v>0</v>
      </c>
      <c r="E30" s="213">
        <v>0</v>
      </c>
      <c r="F30" s="195">
        <f>(12/'CUSTOS ANUAIS'!$M$17)*D30</f>
        <v>0</v>
      </c>
    </row>
    <row r="31" spans="1:6" ht="17.25">
      <c r="A31" s="12"/>
      <c r="B31" s="77" t="str">
        <f>$B$16</f>
        <v>Outro alimento</v>
      </c>
      <c r="C31" s="77"/>
      <c r="D31" s="13">
        <v>0</v>
      </c>
      <c r="E31" s="213">
        <v>0</v>
      </c>
      <c r="F31" s="195">
        <f>(12/'CUSTOS ANUAIS'!$M$17)*D31</f>
        <v>0</v>
      </c>
    </row>
    <row r="32" spans="1:6" ht="17.25">
      <c r="A32" s="24"/>
      <c r="B32" s="208" t="s">
        <v>33</v>
      </c>
      <c r="C32" s="208"/>
      <c r="D32" s="25">
        <v>0</v>
      </c>
      <c r="E32" s="214">
        <v>0</v>
      </c>
      <c r="F32" s="215">
        <f>(12/'CUSTOS ANUAIS'!$M$17)*D32</f>
        <v>0</v>
      </c>
    </row>
    <row r="33" spans="1:6" ht="17.25">
      <c r="A33" s="212" t="s">
        <v>34</v>
      </c>
      <c r="B33" s="202" t="str">
        <f>$B$11</f>
        <v>Sal mineral</v>
      </c>
      <c r="C33" s="202"/>
      <c r="D33" s="203">
        <v>60</v>
      </c>
      <c r="E33" s="204">
        <v>0.025</v>
      </c>
      <c r="F33" s="195">
        <f>(12/'CUSTOS ANUAIS'!$M$17)*D33</f>
        <v>72</v>
      </c>
    </row>
    <row r="34" spans="1:6" ht="17.25">
      <c r="A34" s="212"/>
      <c r="B34" s="77" t="str">
        <f>$B$12</f>
        <v>Pastagem</v>
      </c>
      <c r="C34" s="77"/>
      <c r="D34" s="13">
        <v>60</v>
      </c>
      <c r="E34" s="213">
        <v>3</v>
      </c>
      <c r="F34" s="195">
        <f>(12/'CUSTOS ANUAIS'!$M$17)*D34</f>
        <v>72</v>
      </c>
    </row>
    <row r="35" spans="1:6" ht="17.25">
      <c r="A35" s="212"/>
      <c r="B35" s="77" t="str">
        <f>$B$13</f>
        <v>Outro alimento</v>
      </c>
      <c r="C35" s="77"/>
      <c r="D35" s="13">
        <v>0</v>
      </c>
      <c r="E35" s="213">
        <v>0</v>
      </c>
      <c r="F35" s="195">
        <f>(12/'CUSTOS ANUAIS'!$M$17)*D35</f>
        <v>0</v>
      </c>
    </row>
    <row r="36" spans="1:6" ht="17.25">
      <c r="A36" s="212"/>
      <c r="B36" s="77" t="str">
        <f>$B$14</f>
        <v>Cana de açúcar</v>
      </c>
      <c r="C36" s="77"/>
      <c r="D36" s="13">
        <v>30</v>
      </c>
      <c r="E36" s="213">
        <v>1.5</v>
      </c>
      <c r="F36" s="195">
        <f>(12/'CUSTOS ANUAIS'!$M$17)*D36</f>
        <v>36</v>
      </c>
    </row>
    <row r="37" spans="1:6" ht="17.25">
      <c r="A37" s="12"/>
      <c r="B37" s="77" t="str">
        <f>$B$15</f>
        <v>Outro alimento</v>
      </c>
      <c r="C37" s="77"/>
      <c r="D37" s="13">
        <v>0</v>
      </c>
      <c r="E37" s="213">
        <v>0</v>
      </c>
      <c r="F37" s="195">
        <f>(12/'CUSTOS ANUAIS'!$M$17)*D37</f>
        <v>0</v>
      </c>
    </row>
    <row r="38" spans="1:6" ht="17.25">
      <c r="A38" s="12"/>
      <c r="B38" s="77" t="str">
        <f>$B$16</f>
        <v>Outro alimento</v>
      </c>
      <c r="C38" s="77"/>
      <c r="D38" s="13">
        <v>0</v>
      </c>
      <c r="E38" s="213">
        <v>0</v>
      </c>
      <c r="F38" s="195">
        <f>(12/'CUSTOS ANUAIS'!$M$17)*D38</f>
        <v>0</v>
      </c>
    </row>
    <row r="39" spans="1:6" ht="17.25">
      <c r="A39" s="12"/>
      <c r="B39" s="77" t="str">
        <f>$B$32</f>
        <v>Concentrado adultos</v>
      </c>
      <c r="C39" s="77"/>
      <c r="D39" s="13">
        <v>60</v>
      </c>
      <c r="E39" s="213">
        <v>0.3</v>
      </c>
      <c r="F39" s="215">
        <f>(12/'CUSTOS ANUAIS'!$M$17)*D39</f>
        <v>72</v>
      </c>
    </row>
    <row r="40" spans="1:6" ht="17.25">
      <c r="A40" s="216" t="s">
        <v>35</v>
      </c>
      <c r="B40" s="217" t="str">
        <f>$B$11</f>
        <v>Sal mineral</v>
      </c>
      <c r="C40" s="217"/>
      <c r="D40" s="218">
        <v>75</v>
      </c>
      <c r="E40" s="219">
        <v>0.025</v>
      </c>
      <c r="F40" s="195">
        <f>(12/'CUSTOS ANUAIS'!$M$17)*D40</f>
        <v>90</v>
      </c>
    </row>
    <row r="41" spans="2:6" ht="17.25">
      <c r="B41" s="77" t="str">
        <f>$B$12</f>
        <v>Pastagem</v>
      </c>
      <c r="C41" s="77"/>
      <c r="D41" s="13">
        <v>75</v>
      </c>
      <c r="E41" s="213">
        <v>3.75</v>
      </c>
      <c r="F41" s="195">
        <f>(12/'CUSTOS ANUAIS'!$M$17)*D41</f>
        <v>90</v>
      </c>
    </row>
    <row r="42" spans="1:6" ht="17.25">
      <c r="A42" s="212"/>
      <c r="B42" s="77" t="str">
        <f>$B$13</f>
        <v>Outro alimento</v>
      </c>
      <c r="C42" s="77"/>
      <c r="D42" s="13">
        <v>0</v>
      </c>
      <c r="E42" s="213">
        <v>0</v>
      </c>
      <c r="F42" s="195">
        <f>(12/'CUSTOS ANUAIS'!$M$17)*D42</f>
        <v>0</v>
      </c>
    </row>
    <row r="43" spans="1:6" ht="17.25">
      <c r="A43" s="212"/>
      <c r="B43" s="77" t="str">
        <f>$B$14</f>
        <v>Cana de açúcar</v>
      </c>
      <c r="C43" s="77"/>
      <c r="D43" s="13">
        <v>38</v>
      </c>
      <c r="E43" s="213">
        <v>2</v>
      </c>
      <c r="F43" s="195">
        <f>(12/'CUSTOS ANUAIS'!$M$17)*D43</f>
        <v>45.6</v>
      </c>
    </row>
    <row r="44" spans="1:6" ht="17.25">
      <c r="A44" s="12"/>
      <c r="B44" s="77" t="str">
        <f>$B$15</f>
        <v>Outro alimento</v>
      </c>
      <c r="C44" s="77"/>
      <c r="D44" s="13">
        <v>0</v>
      </c>
      <c r="E44" s="213">
        <v>0</v>
      </c>
      <c r="F44" s="195">
        <f>(12/'CUSTOS ANUAIS'!$M$17)*D44</f>
        <v>0</v>
      </c>
    </row>
    <row r="45" spans="1:6" ht="17.25">
      <c r="A45" s="12"/>
      <c r="B45" s="77" t="str">
        <f>$B$16</f>
        <v>Outro alimento</v>
      </c>
      <c r="C45" s="77"/>
      <c r="D45" s="13">
        <v>0</v>
      </c>
      <c r="E45" s="213">
        <v>0</v>
      </c>
      <c r="F45" s="195">
        <f>(12/'CUSTOS ANUAIS'!$M$17)*D45</f>
        <v>0</v>
      </c>
    </row>
    <row r="46" spans="1:6" ht="17.25">
      <c r="A46" s="12"/>
      <c r="B46" s="77" t="str">
        <f>$B$32</f>
        <v>Concentrado adultos</v>
      </c>
      <c r="C46" s="77"/>
      <c r="D46" s="13">
        <v>30</v>
      </c>
      <c r="E46" s="213">
        <v>0.3</v>
      </c>
      <c r="F46" s="215">
        <f>(12/'CUSTOS ANUAIS'!$M$17)*D46</f>
        <v>36</v>
      </c>
    </row>
    <row r="47" spans="1:6" ht="17.25">
      <c r="A47" s="216" t="s">
        <v>36</v>
      </c>
      <c r="B47" s="217" t="str">
        <f>$B$11</f>
        <v>Sal mineral</v>
      </c>
      <c r="C47" s="217"/>
      <c r="D47" s="218">
        <v>67</v>
      </c>
      <c r="E47" s="219">
        <v>0.025</v>
      </c>
      <c r="F47" s="195">
        <f>(12/'CUSTOS ANUAIS'!$M$17)*D47</f>
        <v>80.39999999999999</v>
      </c>
    </row>
    <row r="48" spans="2:6" ht="17.25">
      <c r="B48" s="77" t="str">
        <f>$B$12</f>
        <v>Pastagem</v>
      </c>
      <c r="C48" s="77"/>
      <c r="D48" s="13">
        <v>67</v>
      </c>
      <c r="E48" s="213">
        <v>2.25</v>
      </c>
      <c r="F48" s="195">
        <f>(12/'CUSTOS ANUAIS'!$M$17)*D48</f>
        <v>80.39999999999999</v>
      </c>
    </row>
    <row r="49" spans="1:6" ht="17.25">
      <c r="A49" s="212"/>
      <c r="B49" s="77" t="str">
        <f>$B$13</f>
        <v>Outro alimento</v>
      </c>
      <c r="C49" s="77"/>
      <c r="D49" s="13">
        <v>0</v>
      </c>
      <c r="E49" s="213">
        <v>0</v>
      </c>
      <c r="F49" s="195">
        <f>(12/'CUSTOS ANUAIS'!$M$17)*D49</f>
        <v>0</v>
      </c>
    </row>
    <row r="50" spans="1:6" ht="17.25">
      <c r="A50" s="212"/>
      <c r="B50" s="77" t="str">
        <f>$B$14</f>
        <v>Cana de açúcar</v>
      </c>
      <c r="C50" s="77"/>
      <c r="D50" s="13">
        <v>34</v>
      </c>
      <c r="E50" s="213">
        <v>1.5</v>
      </c>
      <c r="F50" s="195">
        <f>(12/'CUSTOS ANUAIS'!$M$17)*D50</f>
        <v>40.8</v>
      </c>
    </row>
    <row r="51" spans="1:6" ht="17.25">
      <c r="A51" s="12"/>
      <c r="B51" s="77" t="str">
        <f>$B$15</f>
        <v>Outro alimento</v>
      </c>
      <c r="C51" s="77"/>
      <c r="D51" s="13">
        <v>0</v>
      </c>
      <c r="E51" s="213">
        <v>0</v>
      </c>
      <c r="F51" s="195">
        <f>(12/'CUSTOS ANUAIS'!$M$17)*D51</f>
        <v>0</v>
      </c>
    </row>
    <row r="52" spans="1:6" ht="17.25">
      <c r="A52" s="12"/>
      <c r="B52" s="77" t="str">
        <f>$B$16</f>
        <v>Outro alimento</v>
      </c>
      <c r="C52" s="77"/>
      <c r="D52" s="13">
        <v>0</v>
      </c>
      <c r="E52" s="213">
        <v>0</v>
      </c>
      <c r="F52" s="195">
        <f>(12/'CUSTOS ANUAIS'!$M$17)*D52</f>
        <v>0</v>
      </c>
    </row>
    <row r="53" spans="1:6" ht="17.25">
      <c r="A53" s="24"/>
      <c r="B53" s="208" t="str">
        <f>$B$32</f>
        <v>Concentrado adultos</v>
      </c>
      <c r="C53" s="208"/>
      <c r="D53" s="25">
        <v>0</v>
      </c>
      <c r="E53" s="214">
        <v>0</v>
      </c>
      <c r="F53" s="215">
        <f>(12/'CUSTOS ANUAIS'!$M$17)*D53</f>
        <v>0</v>
      </c>
    </row>
    <row r="54" spans="1:6" ht="17.25">
      <c r="A54" s="187" t="s">
        <v>37</v>
      </c>
      <c r="B54" s="220"/>
      <c r="C54" s="115"/>
      <c r="D54" s="221"/>
      <c r="E54" s="211"/>
      <c r="F54" s="205"/>
    </row>
    <row r="55" spans="1:6" ht="17.25">
      <c r="A55" s="212" t="s">
        <v>38</v>
      </c>
      <c r="B55" s="119" t="str">
        <f>$B$11</f>
        <v>Sal mineral</v>
      </c>
      <c r="C55" s="119"/>
      <c r="D55" s="13">
        <v>304</v>
      </c>
      <c r="E55" s="213">
        <v>0.025</v>
      </c>
      <c r="F55" s="195">
        <f>(12/'CUSTOS ANUAIS'!$M$17)*D55</f>
        <v>364.8</v>
      </c>
    </row>
    <row r="56" spans="2:6" ht="17.25">
      <c r="B56" s="77" t="str">
        <f>$B$12</f>
        <v>Pastagem</v>
      </c>
      <c r="C56" s="77"/>
      <c r="D56" s="13">
        <v>304</v>
      </c>
      <c r="E56" s="213">
        <v>3.75</v>
      </c>
      <c r="F56" s="195">
        <f>(12/'CUSTOS ANUAIS'!$M$17)*D56</f>
        <v>364.8</v>
      </c>
    </row>
    <row r="57" spans="1:6" ht="17.25">
      <c r="A57" s="212"/>
      <c r="B57" s="77" t="str">
        <f>$B$13</f>
        <v>Outro alimento</v>
      </c>
      <c r="C57" s="77"/>
      <c r="D57" s="13">
        <v>0</v>
      </c>
      <c r="E57" s="213">
        <v>0</v>
      </c>
      <c r="F57" s="195">
        <f>(12/'CUSTOS ANUAIS'!$M$17)*D57</f>
        <v>0</v>
      </c>
    </row>
    <row r="58" spans="1:6" ht="17.25">
      <c r="A58" s="212"/>
      <c r="B58" s="77" t="str">
        <f>$B$14</f>
        <v>Cana de açúcar</v>
      </c>
      <c r="C58" s="77"/>
      <c r="D58" s="13">
        <v>150</v>
      </c>
      <c r="E58" s="213">
        <v>2.5</v>
      </c>
      <c r="F58" s="195">
        <f>(12/'CUSTOS ANUAIS'!$M$17)*D58</f>
        <v>180</v>
      </c>
    </row>
    <row r="59" spans="1:6" ht="17.25">
      <c r="A59" s="12"/>
      <c r="B59" s="77" t="str">
        <f>$B$15</f>
        <v>Outro alimento</v>
      </c>
      <c r="C59" s="77"/>
      <c r="D59" s="13">
        <v>0</v>
      </c>
      <c r="E59" s="213">
        <v>0</v>
      </c>
      <c r="F59" s="195">
        <f>(12/'CUSTOS ANUAIS'!$M$17)*D59</f>
        <v>0</v>
      </c>
    </row>
    <row r="60" spans="1:6" ht="17.25">
      <c r="A60" s="12"/>
      <c r="B60" s="77" t="str">
        <f>$B$16</f>
        <v>Outro alimento</v>
      </c>
      <c r="C60" s="77"/>
      <c r="D60" s="13">
        <v>0</v>
      </c>
      <c r="E60" s="213">
        <v>0</v>
      </c>
      <c r="F60" s="195">
        <f>(12/'CUSTOS ANUAIS'!$M$17)*D60</f>
        <v>0</v>
      </c>
    </row>
    <row r="61" spans="1:6" ht="17.25">
      <c r="A61" s="12"/>
      <c r="B61" s="77" t="str">
        <f>$B$32</f>
        <v>Concentrado adultos</v>
      </c>
      <c r="C61" s="77"/>
      <c r="D61" s="13">
        <v>0</v>
      </c>
      <c r="E61" s="213">
        <v>0</v>
      </c>
      <c r="F61" s="215">
        <f>(12/'CUSTOS ANUAIS'!$M$17)*D61</f>
        <v>0</v>
      </c>
    </row>
    <row r="62" spans="1:6" ht="17.25">
      <c r="A62" s="216" t="s">
        <v>39</v>
      </c>
      <c r="B62" s="217" t="str">
        <f>$B$11</f>
        <v>Sal mineral</v>
      </c>
      <c r="C62" s="217"/>
      <c r="D62" s="218">
        <v>0</v>
      </c>
      <c r="E62" s="219">
        <v>0.025</v>
      </c>
      <c r="F62" s="195">
        <f>(12/'CUSTOS ANUAIS'!$M$17)*D62</f>
        <v>0</v>
      </c>
    </row>
    <row r="63" spans="2:6" ht="17.25">
      <c r="B63" s="77" t="str">
        <f>$B$12</f>
        <v>Pastagem</v>
      </c>
      <c r="C63" s="77"/>
      <c r="D63" s="13">
        <v>0</v>
      </c>
      <c r="E63" s="213">
        <v>0</v>
      </c>
      <c r="F63" s="195">
        <f>(12/'CUSTOS ANUAIS'!$M$17)*D63</f>
        <v>0</v>
      </c>
    </row>
    <row r="64" spans="1:6" ht="17.25">
      <c r="A64" s="212"/>
      <c r="B64" s="77" t="str">
        <f>$B$13</f>
        <v>Outro alimento</v>
      </c>
      <c r="C64" s="77"/>
      <c r="D64" s="13">
        <v>0</v>
      </c>
      <c r="E64" s="213">
        <v>0</v>
      </c>
      <c r="F64" s="195">
        <f>(12/'CUSTOS ANUAIS'!$M$17)*D64</f>
        <v>0</v>
      </c>
    </row>
    <row r="65" spans="1:6" ht="17.25">
      <c r="A65" s="212"/>
      <c r="B65" s="77" t="str">
        <f>$B$14</f>
        <v>Cana de açúcar</v>
      </c>
      <c r="C65" s="77"/>
      <c r="D65" s="13">
        <v>0</v>
      </c>
      <c r="E65" s="213">
        <v>0</v>
      </c>
      <c r="F65" s="195">
        <f>(12/'CUSTOS ANUAIS'!$M$17)*D65</f>
        <v>0</v>
      </c>
    </row>
    <row r="66" spans="1:6" ht="17.25">
      <c r="A66" s="12"/>
      <c r="B66" s="77" t="str">
        <f>$B$15</f>
        <v>Outro alimento</v>
      </c>
      <c r="C66" s="77"/>
      <c r="D66" s="13">
        <v>0</v>
      </c>
      <c r="E66" s="213">
        <v>0</v>
      </c>
      <c r="F66" s="195">
        <f>(12/'CUSTOS ANUAIS'!$M$17)*D66</f>
        <v>0</v>
      </c>
    </row>
    <row r="67" spans="1:6" ht="17.25">
      <c r="A67" s="12"/>
      <c r="B67" s="77" t="str">
        <f>$B$16</f>
        <v>Outro alimento</v>
      </c>
      <c r="C67" s="77"/>
      <c r="D67" s="13">
        <v>0</v>
      </c>
      <c r="E67" s="213">
        <v>0</v>
      </c>
      <c r="F67" s="195">
        <f>(12/'CUSTOS ANUAIS'!$M$17)*D67</f>
        <v>0</v>
      </c>
    </row>
    <row r="68" spans="1:7" ht="17.25">
      <c r="A68" s="24"/>
      <c r="B68" s="208" t="str">
        <f>$B$32</f>
        <v>Concentrado adultos</v>
      </c>
      <c r="C68" s="208"/>
      <c r="D68" s="25">
        <v>0</v>
      </c>
      <c r="E68" s="214">
        <v>0</v>
      </c>
      <c r="F68" s="215">
        <f>(12/'CUSTOS ANUAIS'!$M$17)*D68</f>
        <v>0</v>
      </c>
      <c r="G68" s="63"/>
    </row>
    <row r="69" spans="1:6" ht="17.25">
      <c r="A69" s="229" t="s">
        <v>40</v>
      </c>
      <c r="B69" s="229"/>
      <c r="C69" s="229"/>
      <c r="D69" s="229"/>
      <c r="E69" s="229"/>
      <c r="F69" s="230"/>
    </row>
    <row r="70" spans="1:6" ht="33" customHeight="1">
      <c r="A70" s="231" t="s">
        <v>41</v>
      </c>
      <c r="B70" s="231"/>
      <c r="C70" s="231"/>
      <c r="D70" s="231"/>
      <c r="E70" s="231"/>
      <c r="F70" s="231"/>
    </row>
    <row r="71" spans="1:6" ht="34.5" customHeight="1">
      <c r="A71" s="232" t="s">
        <v>42</v>
      </c>
      <c r="B71" s="232"/>
      <c r="C71" s="232"/>
      <c r="D71" s="232"/>
      <c r="E71" s="232"/>
      <c r="F71" s="232"/>
    </row>
    <row r="72" spans="1:6" ht="17.25">
      <c r="A72" s="232"/>
      <c r="B72" s="232"/>
      <c r="C72" s="232"/>
      <c r="D72" s="232"/>
      <c r="E72" s="232"/>
      <c r="F72" s="232"/>
    </row>
    <row r="73" spans="1:6" ht="17.25">
      <c r="A73" s="232"/>
      <c r="B73" s="232"/>
      <c r="C73" s="232"/>
      <c r="D73" s="232"/>
      <c r="E73" s="232"/>
      <c r="F73" s="232"/>
    </row>
    <row r="74" spans="1:5" ht="17.25">
      <c r="A74" s="180" t="s">
        <v>43</v>
      </c>
      <c r="B74" s="180"/>
      <c r="C74" s="180"/>
      <c r="D74" s="180"/>
      <c r="E74" s="180"/>
    </row>
    <row r="75" ht="9.75" customHeight="1"/>
    <row r="76" spans="1:6" ht="33.75" customHeight="1">
      <c r="A76" s="233"/>
      <c r="B76" s="222" t="s">
        <v>44</v>
      </c>
      <c r="C76" s="222"/>
      <c r="D76" s="234" t="s">
        <v>45</v>
      </c>
      <c r="E76" s="235" t="s">
        <v>46</v>
      </c>
      <c r="F76" s="236" t="s">
        <v>47</v>
      </c>
    </row>
    <row r="77" spans="1:6" ht="34.5">
      <c r="A77" s="237" t="s">
        <v>48</v>
      </c>
      <c r="B77" s="238"/>
      <c r="C77" s="238"/>
      <c r="D77" s="63"/>
      <c r="E77" s="239"/>
      <c r="F77" s="240" t="s">
        <v>49</v>
      </c>
    </row>
    <row r="78" spans="1:6" ht="17.25">
      <c r="A78" s="241" t="s">
        <v>50</v>
      </c>
      <c r="B78" s="242">
        <v>2</v>
      </c>
      <c r="C78" s="242"/>
      <c r="D78" s="115" t="s">
        <v>51</v>
      </c>
      <c r="E78" s="147">
        <f>(12/'CUSTOS ANUAIS'!$M$17)</f>
        <v>1.2</v>
      </c>
      <c r="F78" s="243">
        <f>B78*E78</f>
        <v>2.4</v>
      </c>
    </row>
    <row r="79" spans="1:6" ht="17.25">
      <c r="A79" s="241" t="s">
        <v>52</v>
      </c>
      <c r="B79" s="242">
        <v>1</v>
      </c>
      <c r="C79" s="242"/>
      <c r="D79" s="115" t="s">
        <v>51</v>
      </c>
      <c r="E79" s="147">
        <f>(12/'CUSTOS ANUAIS'!$M$17)</f>
        <v>1.2</v>
      </c>
      <c r="F79" s="243">
        <f>B79*E79</f>
        <v>1.2</v>
      </c>
    </row>
    <row r="80" spans="1:6" ht="17.25">
      <c r="A80" s="241" t="s">
        <v>53</v>
      </c>
      <c r="B80" s="242">
        <v>1</v>
      </c>
      <c r="C80" s="242"/>
      <c r="D80" s="115" t="s">
        <v>51</v>
      </c>
      <c r="E80" s="147">
        <f>(12/'CUSTOS ANUAIS'!$M$17)</f>
        <v>1.2</v>
      </c>
      <c r="F80" s="243">
        <f>B80*E80</f>
        <v>1.2</v>
      </c>
    </row>
    <row r="81" spans="1:6" ht="17.25">
      <c r="A81" s="237" t="s">
        <v>54</v>
      </c>
      <c r="B81" s="244"/>
      <c r="C81" s="244"/>
      <c r="D81" s="115"/>
      <c r="E81" s="147"/>
      <c r="F81" s="245" t="s">
        <v>49</v>
      </c>
    </row>
    <row r="82" spans="1:6" ht="17.25">
      <c r="A82" s="241" t="s">
        <v>50</v>
      </c>
      <c r="B82" s="242">
        <v>0</v>
      </c>
      <c r="C82" s="242"/>
      <c r="D82" s="115" t="s">
        <v>51</v>
      </c>
      <c r="E82" s="147">
        <f>(12/'CUSTOS ANUAIS'!$M$17)</f>
        <v>1.2</v>
      </c>
      <c r="F82" s="243">
        <f>B82*E82</f>
        <v>0</v>
      </c>
    </row>
    <row r="83" spans="1:6" ht="17.25">
      <c r="A83" s="241" t="s">
        <v>52</v>
      </c>
      <c r="B83" s="242">
        <v>0</v>
      </c>
      <c r="C83" s="242"/>
      <c r="D83" s="115" t="s">
        <v>51</v>
      </c>
      <c r="E83" s="147">
        <f>(12/'CUSTOS ANUAIS'!$M$17)</f>
        <v>1.2</v>
      </c>
      <c r="F83" s="243">
        <f>B83*E83</f>
        <v>0</v>
      </c>
    </row>
    <row r="84" spans="1:6" ht="17.25">
      <c r="A84" s="241" t="s">
        <v>53</v>
      </c>
      <c r="B84" s="242">
        <v>0</v>
      </c>
      <c r="C84" s="242"/>
      <c r="D84" s="115" t="s">
        <v>51</v>
      </c>
      <c r="E84" s="147">
        <f>(12/'CUSTOS ANUAIS'!$M$17)</f>
        <v>1.2</v>
      </c>
      <c r="F84" s="243">
        <f>B84*E84</f>
        <v>0</v>
      </c>
    </row>
    <row r="85" spans="1:6" ht="17.25">
      <c r="A85" s="237" t="s">
        <v>55</v>
      </c>
      <c r="B85" s="246"/>
      <c r="C85" s="247"/>
      <c r="D85" s="115"/>
      <c r="E85" s="147"/>
      <c r="F85" s="248" t="s">
        <v>56</v>
      </c>
    </row>
    <row r="86" spans="1:6" ht="17.25">
      <c r="A86" s="241" t="s">
        <v>50</v>
      </c>
      <c r="B86" s="242">
        <v>2</v>
      </c>
      <c r="C86" s="242"/>
      <c r="D86" s="249">
        <v>1</v>
      </c>
      <c r="E86" s="147">
        <f>(12/'CUSTOS ANUAIS'!$M$17)</f>
        <v>1.2</v>
      </c>
      <c r="F86" s="243">
        <f>(B86*D86)*E86</f>
        <v>2.4</v>
      </c>
    </row>
    <row r="87" spans="1:6" ht="17.25">
      <c r="A87" s="241" t="s">
        <v>52</v>
      </c>
      <c r="B87" s="242">
        <v>4</v>
      </c>
      <c r="C87" s="242"/>
      <c r="D87" s="249">
        <v>1.5</v>
      </c>
      <c r="E87" s="147">
        <f>(12/'CUSTOS ANUAIS'!$M$17)</f>
        <v>1.2</v>
      </c>
      <c r="F87" s="243">
        <f>(B87*D87)*E87</f>
        <v>7.199999999999999</v>
      </c>
    </row>
    <row r="88" spans="1:6" ht="17.25">
      <c r="A88" s="241" t="s">
        <v>53</v>
      </c>
      <c r="B88" s="242">
        <v>4</v>
      </c>
      <c r="C88" s="242"/>
      <c r="D88" s="249">
        <v>3</v>
      </c>
      <c r="E88" s="147">
        <f>(12/'CUSTOS ANUAIS'!$M$17)</f>
        <v>1.2</v>
      </c>
      <c r="F88" s="243">
        <f>(B88*D88)*E88</f>
        <v>14.399999999999999</v>
      </c>
    </row>
    <row r="89" spans="1:6" ht="17.25">
      <c r="A89" s="237" t="s">
        <v>57</v>
      </c>
      <c r="B89" s="250"/>
      <c r="C89" s="250"/>
      <c r="D89" s="115"/>
      <c r="E89" s="147"/>
      <c r="F89" s="248" t="s">
        <v>56</v>
      </c>
    </row>
    <row r="90" spans="1:6" ht="17.25">
      <c r="A90" s="241" t="s">
        <v>50</v>
      </c>
      <c r="B90" s="242">
        <v>0</v>
      </c>
      <c r="C90" s="242"/>
      <c r="D90" s="13">
        <v>0</v>
      </c>
      <c r="E90" s="147">
        <f>(12/'CUSTOS ANUAIS'!$M$17)</f>
        <v>1.2</v>
      </c>
      <c r="F90" s="243">
        <f>(B90*D90)*E90</f>
        <v>0</v>
      </c>
    </row>
    <row r="91" spans="1:6" ht="17.25">
      <c r="A91" s="241" t="s">
        <v>52</v>
      </c>
      <c r="B91" s="242">
        <v>0</v>
      </c>
      <c r="C91" s="242"/>
      <c r="D91" s="13">
        <v>0</v>
      </c>
      <c r="E91" s="147">
        <f>(12/'CUSTOS ANUAIS'!$M$17)</f>
        <v>1.2</v>
      </c>
      <c r="F91" s="243">
        <f>(B91*D91)*E91</f>
        <v>0</v>
      </c>
    </row>
    <row r="92" spans="1:6" ht="17.25">
      <c r="A92" s="24" t="s">
        <v>58</v>
      </c>
      <c r="B92" s="25">
        <v>0</v>
      </c>
      <c r="C92" s="25"/>
      <c r="D92" s="25">
        <v>0</v>
      </c>
      <c r="E92" s="175">
        <f>(12/'CUSTOS ANUAIS'!$M$17)</f>
        <v>1.2</v>
      </c>
      <c r="F92" s="251">
        <f>(B92*D92)*E92</f>
        <v>0</v>
      </c>
    </row>
    <row r="93" ht="17.25">
      <c r="A93" s="130"/>
    </row>
    <row r="94" ht="17.25">
      <c r="A94" s="130"/>
    </row>
    <row r="95" spans="1:4" ht="17.25">
      <c r="A95" s="252" t="s">
        <v>59</v>
      </c>
      <c r="B95" s="252"/>
      <c r="C95" s="252"/>
      <c r="D95" s="252"/>
    </row>
    <row r="96" spans="1:4" ht="9.75" customHeight="1">
      <c r="A96" s="253"/>
      <c r="B96" s="253"/>
      <c r="C96" s="253"/>
      <c r="D96" s="253"/>
    </row>
    <row r="97" spans="1:6" ht="17.25">
      <c r="A97" s="36"/>
      <c r="B97" s="37"/>
      <c r="C97" s="37"/>
      <c r="D97" s="5" t="s">
        <v>60</v>
      </c>
      <c r="E97" s="235" t="s">
        <v>46</v>
      </c>
      <c r="F97" s="5" t="s">
        <v>61</v>
      </c>
    </row>
    <row r="98" spans="1:6" ht="17.25">
      <c r="A98" s="254" t="s">
        <v>62</v>
      </c>
      <c r="B98" s="255"/>
      <c r="C98" s="255"/>
      <c r="D98" s="89">
        <v>0</v>
      </c>
      <c r="E98" s="147">
        <f>(12/'CUSTOS ANUAIS'!$M$17)</f>
        <v>1.2</v>
      </c>
      <c r="F98" s="225">
        <f>D98*E98</f>
        <v>0</v>
      </c>
    </row>
    <row r="99" spans="1:6" ht="17.25">
      <c r="A99" s="256" t="s">
        <v>63</v>
      </c>
      <c r="B99" s="257"/>
      <c r="C99" s="257"/>
      <c r="D99" s="258">
        <v>0</v>
      </c>
      <c r="E99" s="175">
        <f>(12/'CUSTOS ANUAIS'!$M$17)</f>
        <v>1.2</v>
      </c>
      <c r="F99" s="259">
        <f>D99*E99</f>
        <v>0</v>
      </c>
    </row>
    <row r="100" ht="17.25">
      <c r="A100" s="130"/>
    </row>
    <row r="101" ht="17.25">
      <c r="A101" s="130"/>
    </row>
    <row r="102" spans="1:6" ht="17.25">
      <c r="A102" s="180" t="s">
        <v>64</v>
      </c>
      <c r="B102" s="180"/>
      <c r="C102" s="180"/>
      <c r="D102" s="180"/>
      <c r="E102" s="181"/>
      <c r="F102" s="181"/>
    </row>
    <row r="103" spans="1:2" ht="9.75" customHeight="1">
      <c r="A103" s="260"/>
      <c r="B103" s="261"/>
    </row>
    <row r="104" spans="1:6" ht="17.25">
      <c r="A104" s="6" t="s">
        <v>65</v>
      </c>
      <c r="B104" s="4" t="s">
        <v>66</v>
      </c>
      <c r="C104" s="4"/>
      <c r="D104" s="5" t="s">
        <v>67</v>
      </c>
      <c r="E104" s="12"/>
      <c r="F104" s="63"/>
    </row>
    <row r="105" spans="1:6" ht="17.25">
      <c r="A105" s="10" t="s">
        <v>68</v>
      </c>
      <c r="D105" s="262"/>
      <c r="E105" s="20"/>
      <c r="F105" s="263"/>
    </row>
    <row r="106" spans="1:4" ht="17.25">
      <c r="A106" s="264" t="s">
        <v>69</v>
      </c>
      <c r="B106" s="13">
        <v>4</v>
      </c>
      <c r="C106" s="13"/>
      <c r="D106" s="89">
        <v>264</v>
      </c>
    </row>
    <row r="107" spans="1:4" ht="17.25">
      <c r="A107" s="264" t="s">
        <v>70</v>
      </c>
      <c r="B107" s="13">
        <v>0</v>
      </c>
      <c r="C107" s="13"/>
      <c r="D107" s="89">
        <v>0</v>
      </c>
    </row>
    <row r="108" spans="1:4" ht="17.25">
      <c r="A108" s="264" t="s">
        <v>71</v>
      </c>
      <c r="B108" s="13">
        <v>0</v>
      </c>
      <c r="C108" s="13"/>
      <c r="D108" s="89">
        <v>0</v>
      </c>
    </row>
    <row r="109" spans="1:4" ht="17.25">
      <c r="A109" s="264" t="s">
        <v>72</v>
      </c>
      <c r="B109" s="13">
        <v>0</v>
      </c>
      <c r="C109" s="13"/>
      <c r="D109" s="89">
        <v>0</v>
      </c>
    </row>
    <row r="110" spans="1:4" ht="17.25">
      <c r="A110" s="264" t="s">
        <v>73</v>
      </c>
      <c r="B110" s="13">
        <v>0</v>
      </c>
      <c r="C110" s="13"/>
      <c r="D110" s="89">
        <v>0</v>
      </c>
    </row>
    <row r="111" spans="1:6" ht="17.25">
      <c r="A111" s="10" t="s">
        <v>74</v>
      </c>
      <c r="D111" s="146"/>
      <c r="E111" s="20"/>
      <c r="F111" s="263"/>
    </row>
    <row r="112" spans="1:4" ht="17.25">
      <c r="A112" s="264" t="s">
        <v>75</v>
      </c>
      <c r="B112" s="13">
        <v>8</v>
      </c>
      <c r="C112" s="13"/>
      <c r="D112" s="89">
        <v>120</v>
      </c>
    </row>
    <row r="113" spans="1:4" ht="17.25">
      <c r="A113" s="264" t="s">
        <v>76</v>
      </c>
      <c r="B113" s="13">
        <v>0</v>
      </c>
      <c r="C113" s="13"/>
      <c r="D113" s="89">
        <v>0</v>
      </c>
    </row>
    <row r="114" spans="1:4" ht="17.25">
      <c r="A114" s="264" t="s">
        <v>77</v>
      </c>
      <c r="B114" s="13">
        <v>0</v>
      </c>
      <c r="C114" s="13"/>
      <c r="D114" s="89">
        <v>0</v>
      </c>
    </row>
    <row r="115" spans="1:4" ht="17.25">
      <c r="A115" s="264" t="s">
        <v>78</v>
      </c>
      <c r="B115" s="13">
        <v>0</v>
      </c>
      <c r="C115" s="13"/>
      <c r="D115" s="89">
        <v>0</v>
      </c>
    </row>
    <row r="116" spans="1:5" ht="17.25">
      <c r="A116" s="265" t="s">
        <v>79</v>
      </c>
      <c r="B116" s="25">
        <v>0</v>
      </c>
      <c r="C116" s="25"/>
      <c r="D116" s="258">
        <v>0</v>
      </c>
      <c r="E116" s="12"/>
    </row>
    <row r="117" spans="1:5" ht="17.25">
      <c r="A117" s="266"/>
      <c r="B117" s="266"/>
      <c r="C117" s="266"/>
      <c r="D117" s="266"/>
      <c r="E117" s="266"/>
    </row>
    <row r="118" ht="17.25"/>
    <row r="119" spans="1:7" ht="17.25">
      <c r="A119" s="252" t="s">
        <v>80</v>
      </c>
      <c r="B119" s="252"/>
      <c r="C119" s="252"/>
      <c r="D119" s="252"/>
      <c r="E119" s="267"/>
      <c r="F119" s="267"/>
      <c r="G119" s="267"/>
    </row>
    <row r="120" spans="1:5" ht="9.75" customHeight="1">
      <c r="A120" s="268"/>
      <c r="B120" s="268"/>
      <c r="C120" s="268"/>
      <c r="D120" s="268"/>
      <c r="E120" s="252"/>
    </row>
    <row r="121" spans="1:4" ht="17.25">
      <c r="A121" s="3"/>
      <c r="B121" s="4" t="s">
        <v>81</v>
      </c>
      <c r="C121" s="4"/>
      <c r="D121" s="5" t="s">
        <v>82</v>
      </c>
    </row>
    <row r="122" spans="1:4" ht="17.25">
      <c r="A122" s="239" t="s">
        <v>83</v>
      </c>
      <c r="B122" s="269" t="s">
        <v>84</v>
      </c>
      <c r="C122" s="269"/>
      <c r="D122" s="87">
        <v>15</v>
      </c>
    </row>
    <row r="123" spans="1:4" ht="17.25">
      <c r="A123" s="12" t="s">
        <v>85</v>
      </c>
      <c r="B123" s="115" t="s">
        <v>84</v>
      </c>
      <c r="C123" s="115"/>
      <c r="D123" s="89">
        <v>0</v>
      </c>
    </row>
    <row r="124" spans="1:4" ht="17.25">
      <c r="A124" s="12" t="s">
        <v>86</v>
      </c>
      <c r="B124" s="115" t="s">
        <v>87</v>
      </c>
      <c r="C124" s="115"/>
      <c r="D124" s="270">
        <f>('CUSTOS ANUAIS'!M13*0.75)</f>
        <v>306.17999999999995</v>
      </c>
    </row>
    <row r="125" spans="1:4" ht="17.25">
      <c r="A125" s="24" t="s">
        <v>88</v>
      </c>
      <c r="B125" s="271" t="s">
        <v>89</v>
      </c>
      <c r="C125" s="271"/>
      <c r="D125" s="258">
        <v>0</v>
      </c>
    </row>
    <row r="126" spans="2:3" ht="17.25">
      <c r="B126" s="1"/>
      <c r="C126" s="1"/>
    </row>
    <row r="127" spans="2:3" ht="17.25">
      <c r="B127" s="1"/>
      <c r="C127" s="1"/>
    </row>
    <row r="128" spans="1:8" ht="17.25">
      <c r="A128" s="180" t="s">
        <v>90</v>
      </c>
      <c r="B128" s="180"/>
      <c r="C128" s="180"/>
      <c r="D128" s="180"/>
      <c r="E128" s="180"/>
      <c r="F128" s="180"/>
      <c r="G128" s="180"/>
      <c r="H128" s="180"/>
    </row>
    <row r="129" ht="9.75" customHeight="1"/>
    <row r="130" spans="1:8" ht="18" customHeight="1">
      <c r="A130" s="272"/>
      <c r="B130" s="273" t="s">
        <v>91</v>
      </c>
      <c r="C130" s="274"/>
      <c r="D130" s="273" t="s">
        <v>92</v>
      </c>
      <c r="E130" s="4" t="s">
        <v>93</v>
      </c>
      <c r="F130" s="4" t="s">
        <v>94</v>
      </c>
      <c r="G130" s="4" t="s">
        <v>95</v>
      </c>
      <c r="H130" s="5" t="s">
        <v>96</v>
      </c>
    </row>
    <row r="131" spans="1:8" ht="17.25">
      <c r="A131" s="275" t="s">
        <v>97</v>
      </c>
      <c r="B131" s="218">
        <v>75</v>
      </c>
      <c r="D131" s="276">
        <v>0.5</v>
      </c>
      <c r="E131" s="269">
        <f aca="true" t="shared" si="0" ref="E131:E136">D131*30</f>
        <v>15</v>
      </c>
      <c r="F131" s="13">
        <v>12000</v>
      </c>
      <c r="G131" s="277">
        <v>0.2</v>
      </c>
      <c r="H131" s="278">
        <f>G131*'INSUMOS - PREÇOS'!F15</f>
        <v>4350</v>
      </c>
    </row>
    <row r="132" spans="1:8" ht="17.25">
      <c r="A132" s="279" t="s">
        <v>98</v>
      </c>
      <c r="B132" s="280"/>
      <c r="D132" s="242">
        <v>0.5</v>
      </c>
      <c r="E132" s="115">
        <f t="shared" si="0"/>
        <v>15</v>
      </c>
      <c r="F132" s="13">
        <v>4000</v>
      </c>
      <c r="G132" s="277">
        <v>0.2</v>
      </c>
      <c r="H132" s="281">
        <f>G132*'INSUMOS - PREÇOS'!F16</f>
        <v>925</v>
      </c>
    </row>
    <row r="133" spans="1:8" ht="17.25">
      <c r="A133" s="279" t="s">
        <v>99</v>
      </c>
      <c r="B133" s="280"/>
      <c r="D133" s="242">
        <v>0.5</v>
      </c>
      <c r="E133" s="115">
        <f t="shared" si="0"/>
        <v>15</v>
      </c>
      <c r="F133" s="13">
        <v>500</v>
      </c>
      <c r="G133" s="277">
        <v>0.2</v>
      </c>
      <c r="H133" s="281">
        <f>G133*'INSUMOS - PREÇOS'!F17</f>
        <v>1100</v>
      </c>
    </row>
    <row r="134" spans="1:8" ht="17.25">
      <c r="A134" s="282" t="s">
        <v>100</v>
      </c>
      <c r="B134" s="20"/>
      <c r="D134" s="13">
        <v>1</v>
      </c>
      <c r="E134" s="115">
        <f t="shared" si="0"/>
        <v>30</v>
      </c>
      <c r="F134" s="13">
        <v>7500</v>
      </c>
      <c r="G134" s="277">
        <v>0</v>
      </c>
      <c r="H134" s="281">
        <f>G134*'INSUMOS - PREÇOS'!F18</f>
        <v>0</v>
      </c>
    </row>
    <row r="135" spans="1:8" ht="17.25">
      <c r="A135" s="282" t="s">
        <v>101</v>
      </c>
      <c r="B135" s="20"/>
      <c r="D135" s="13">
        <v>1</v>
      </c>
      <c r="E135" s="115">
        <f t="shared" si="0"/>
        <v>30</v>
      </c>
      <c r="F135" s="13">
        <v>15000</v>
      </c>
      <c r="G135" s="277">
        <v>0</v>
      </c>
      <c r="H135" s="281">
        <f>G135*'INSUMOS - PREÇOS'!F19</f>
        <v>0</v>
      </c>
    </row>
    <row r="136" spans="1:8" ht="17.25">
      <c r="A136" s="283" t="s">
        <v>102</v>
      </c>
      <c r="B136" s="284"/>
      <c r="D136" s="25">
        <v>1</v>
      </c>
      <c r="E136" s="115">
        <f t="shared" si="0"/>
        <v>30</v>
      </c>
      <c r="F136" s="25">
        <v>15000</v>
      </c>
      <c r="G136" s="285">
        <v>0</v>
      </c>
      <c r="H136" s="281">
        <f>G136*'INSUMOS - PREÇOS'!F20</f>
        <v>0</v>
      </c>
    </row>
    <row r="137" spans="1:8" ht="17.25">
      <c r="A137" s="286"/>
      <c r="B137" s="287"/>
      <c r="C137" s="274"/>
      <c r="D137" s="274"/>
      <c r="E137" s="287"/>
      <c r="F137" s="4" t="s">
        <v>103</v>
      </c>
      <c r="G137" s="4" t="s">
        <v>95</v>
      </c>
      <c r="H137" s="5" t="s">
        <v>96</v>
      </c>
    </row>
    <row r="138" spans="1:8" ht="17.25">
      <c r="A138" s="264" t="s">
        <v>104</v>
      </c>
      <c r="B138" s="63"/>
      <c r="C138" s="115"/>
      <c r="D138" s="115"/>
      <c r="E138" s="63"/>
      <c r="F138" s="249">
        <v>10</v>
      </c>
      <c r="G138" s="288">
        <v>0</v>
      </c>
      <c r="H138" s="289">
        <f>G138*'INSUMOS - PREÇOS'!F21</f>
        <v>0</v>
      </c>
    </row>
    <row r="139" spans="1:8" ht="17.25">
      <c r="A139" s="264" t="s">
        <v>105</v>
      </c>
      <c r="B139" s="63"/>
      <c r="C139" s="115"/>
      <c r="D139" s="115"/>
      <c r="E139" s="63"/>
      <c r="F139" s="249">
        <v>10</v>
      </c>
      <c r="G139" s="288">
        <v>0.05</v>
      </c>
      <c r="H139" s="289">
        <f>G139*'INSUMOS - PREÇOS'!F22</f>
        <v>0</v>
      </c>
    </row>
    <row r="140" spans="1:8" ht="17.25">
      <c r="A140" s="264" t="s">
        <v>106</v>
      </c>
      <c r="B140" s="63"/>
      <c r="C140" s="115"/>
      <c r="D140" s="115"/>
      <c r="E140" s="63"/>
      <c r="F140" s="249">
        <v>10</v>
      </c>
      <c r="G140" s="288">
        <v>0.05</v>
      </c>
      <c r="H140" s="289">
        <f>G140*'INSUMOS - PREÇOS'!F23</f>
        <v>0</v>
      </c>
    </row>
    <row r="141" spans="1:8" ht="17.25">
      <c r="A141" s="264" t="s">
        <v>107</v>
      </c>
      <c r="B141" s="63"/>
      <c r="C141" s="115"/>
      <c r="D141" s="115"/>
      <c r="E141" s="63"/>
      <c r="F141" s="249">
        <v>10</v>
      </c>
      <c r="G141" s="288">
        <v>0.05</v>
      </c>
      <c r="H141" s="289">
        <f>G141*'INSUMOS - PREÇOS'!F24</f>
        <v>0</v>
      </c>
    </row>
    <row r="142" spans="1:8" ht="17.25">
      <c r="A142" s="264" t="s">
        <v>108</v>
      </c>
      <c r="B142" s="63"/>
      <c r="C142" s="115"/>
      <c r="D142" s="115"/>
      <c r="E142" s="63"/>
      <c r="F142" s="249">
        <v>10</v>
      </c>
      <c r="G142" s="288">
        <v>0.05</v>
      </c>
      <c r="H142" s="289">
        <f>G142*'INSUMOS - PREÇOS'!F25</f>
        <v>0</v>
      </c>
    </row>
    <row r="143" spans="1:8" ht="17.25">
      <c r="A143" s="264" t="s">
        <v>109</v>
      </c>
      <c r="B143" s="63"/>
      <c r="C143" s="115"/>
      <c r="D143" s="115"/>
      <c r="E143" s="63"/>
      <c r="F143" s="249">
        <v>10</v>
      </c>
      <c r="G143" s="288">
        <v>0.05</v>
      </c>
      <c r="H143" s="289">
        <f>G143*'INSUMOS - PREÇOS'!F26</f>
        <v>0</v>
      </c>
    </row>
    <row r="144" spans="1:8" ht="17.25">
      <c r="A144" s="12" t="s">
        <v>86</v>
      </c>
      <c r="B144" s="115"/>
      <c r="C144" s="115"/>
      <c r="D144" s="115"/>
      <c r="E144" s="2"/>
      <c r="F144" s="13">
        <v>20</v>
      </c>
      <c r="G144" s="290">
        <v>0</v>
      </c>
      <c r="H144" s="289">
        <f>G144*(D124*'INSUMOS - PREÇOS'!F12)</f>
        <v>0</v>
      </c>
    </row>
    <row r="145" spans="1:8" ht="17.25">
      <c r="A145" s="12" t="s">
        <v>88</v>
      </c>
      <c r="B145" s="115"/>
      <c r="C145" s="115"/>
      <c r="D145" s="115"/>
      <c r="E145" s="115"/>
      <c r="F145" s="13">
        <v>15</v>
      </c>
      <c r="G145" s="290">
        <v>0.1</v>
      </c>
      <c r="H145" s="289">
        <f>G145*(D125*'INSUMOS - PREÇOS'!F13)</f>
        <v>0</v>
      </c>
    </row>
    <row r="146" spans="1:8" ht="17.25">
      <c r="A146" s="286"/>
      <c r="B146" s="287"/>
      <c r="C146" s="274"/>
      <c r="D146" s="274"/>
      <c r="E146" s="287"/>
      <c r="F146" s="4" t="s">
        <v>110</v>
      </c>
      <c r="G146" s="4" t="s">
        <v>95</v>
      </c>
      <c r="H146" s="5" t="s">
        <v>96</v>
      </c>
    </row>
    <row r="147" spans="1:8" ht="17.25">
      <c r="A147" s="254" t="s">
        <v>111</v>
      </c>
      <c r="B147" s="269" t="s">
        <v>51</v>
      </c>
      <c r="C147" s="269" t="s">
        <v>51</v>
      </c>
      <c r="D147" s="269"/>
      <c r="E147" s="269" t="s">
        <v>51</v>
      </c>
      <c r="F147" s="218">
        <v>36</v>
      </c>
      <c r="G147" s="291">
        <v>0.05</v>
      </c>
      <c r="H147" s="292">
        <f>G147*'INSUMOS - PREÇOS'!F29</f>
        <v>62.5</v>
      </c>
    </row>
    <row r="148" spans="1:8" ht="17.25">
      <c r="A148" s="256" t="s">
        <v>112</v>
      </c>
      <c r="B148" s="271" t="s">
        <v>51</v>
      </c>
      <c r="C148" s="271" t="s">
        <v>51</v>
      </c>
      <c r="D148" s="271"/>
      <c r="E148" s="271" t="s">
        <v>51</v>
      </c>
      <c r="F148" s="25">
        <v>72</v>
      </c>
      <c r="G148" s="293">
        <v>0.5</v>
      </c>
      <c r="H148" s="294">
        <f>G148*'INSUMOS - PREÇOS'!F30</f>
        <v>150</v>
      </c>
    </row>
    <row r="149" spans="1:8" ht="17.25">
      <c r="A149" s="295"/>
      <c r="B149" s="20"/>
      <c r="C149" s="18"/>
      <c r="D149" s="18"/>
      <c r="E149" s="115"/>
      <c r="F149" s="18"/>
      <c r="G149" s="18"/>
      <c r="H149" s="63"/>
    </row>
    <row r="150" spans="1:8" ht="17.25">
      <c r="A150" s="295"/>
      <c r="B150" s="20"/>
      <c r="C150" s="18"/>
      <c r="D150" s="18"/>
      <c r="E150" s="115"/>
      <c r="F150" s="18"/>
      <c r="G150" s="18"/>
      <c r="H150" s="63"/>
    </row>
    <row r="151" spans="1:8" ht="17.25">
      <c r="A151" s="295"/>
      <c r="B151" s="296" t="s">
        <v>113</v>
      </c>
      <c r="C151" s="296"/>
      <c r="D151" s="296"/>
      <c r="E151" s="115"/>
      <c r="F151" s="18"/>
      <c r="G151" s="18"/>
      <c r="H151" s="63"/>
    </row>
    <row r="152" spans="1:8" ht="9.75" customHeight="1">
      <c r="A152" s="295"/>
      <c r="B152" s="295"/>
      <c r="C152" s="20"/>
      <c r="D152" s="18"/>
      <c r="E152" s="115"/>
      <c r="F152" s="18"/>
      <c r="G152" s="18"/>
      <c r="H152" s="63"/>
    </row>
    <row r="153" spans="1:8" ht="17.25">
      <c r="A153" s="295"/>
      <c r="B153" s="286"/>
      <c r="C153" s="287"/>
      <c r="D153" s="5" t="s">
        <v>114</v>
      </c>
      <c r="E153" s="115"/>
      <c r="F153" s="18"/>
      <c r="G153" s="18"/>
      <c r="H153" s="63"/>
    </row>
    <row r="154" spans="1:8" ht="17.25">
      <c r="A154" s="295"/>
      <c r="B154" s="169" t="s">
        <v>115</v>
      </c>
      <c r="C154" s="77"/>
      <c r="D154" s="91">
        <v>0.3</v>
      </c>
      <c r="E154" s="115"/>
      <c r="F154" s="18"/>
      <c r="G154" s="18"/>
      <c r="H154" s="63"/>
    </row>
    <row r="155" spans="1:8" ht="17.25">
      <c r="A155" s="295"/>
      <c r="B155" s="297" t="s">
        <v>86</v>
      </c>
      <c r="C155" s="208"/>
      <c r="D155" s="298">
        <v>0.15</v>
      </c>
      <c r="E155" s="115"/>
      <c r="F155" s="18"/>
      <c r="G155" s="18"/>
      <c r="H155" s="63"/>
    </row>
    <row r="156" spans="1:8" ht="17.25">
      <c r="A156" s="295"/>
      <c r="B156" s="20"/>
      <c r="C156" s="18"/>
      <c r="D156" s="18"/>
      <c r="E156" s="115"/>
      <c r="F156" s="18"/>
      <c r="G156" s="18"/>
      <c r="H156" s="63"/>
    </row>
    <row r="157" spans="1:8" ht="17.25">
      <c r="A157" s="295"/>
      <c r="B157" s="20"/>
      <c r="C157" s="18"/>
      <c r="D157" s="18"/>
      <c r="E157" s="115"/>
      <c r="F157" s="18"/>
      <c r="G157" s="18"/>
      <c r="H157" s="63"/>
    </row>
    <row r="158" spans="1:5" ht="17.25">
      <c r="A158" s="252" t="s">
        <v>116</v>
      </c>
      <c r="B158" s="252"/>
      <c r="C158" s="252"/>
      <c r="D158" s="252"/>
      <c r="E158" s="252"/>
    </row>
    <row r="159" spans="1:5" ht="9.75" customHeight="1">
      <c r="A159" s="268"/>
      <c r="B159" s="268"/>
      <c r="C159" s="268"/>
      <c r="D159" s="268"/>
      <c r="E159" s="268"/>
    </row>
    <row r="160" spans="1:5" ht="18">
      <c r="A160" s="286"/>
      <c r="B160" s="4" t="s">
        <v>81</v>
      </c>
      <c r="C160" s="4"/>
      <c r="D160" s="4" t="s">
        <v>117</v>
      </c>
      <c r="E160" s="5" t="s">
        <v>118</v>
      </c>
    </row>
    <row r="161" spans="1:5" s="63" customFormat="1" ht="17.25">
      <c r="A161" s="7" t="s">
        <v>119</v>
      </c>
      <c r="B161" s="299"/>
      <c r="C161" s="299"/>
      <c r="D161" s="299"/>
      <c r="E161" s="156"/>
    </row>
    <row r="162" spans="1:5" s="63" customFormat="1" ht="17.25">
      <c r="A162" s="12" t="s">
        <v>120</v>
      </c>
      <c r="B162" s="115" t="s">
        <v>121</v>
      </c>
      <c r="C162" s="115"/>
      <c r="D162" s="13">
        <v>0</v>
      </c>
      <c r="E162" s="89">
        <v>6</v>
      </c>
    </row>
    <row r="163" spans="1:5" ht="17.25">
      <c r="A163" s="12" t="s">
        <v>122</v>
      </c>
      <c r="B163" s="115" t="s">
        <v>121</v>
      </c>
      <c r="C163" s="115"/>
      <c r="D163" s="13">
        <v>45</v>
      </c>
      <c r="E163" s="89">
        <v>1</v>
      </c>
    </row>
    <row r="164" spans="1:5" ht="17.25">
      <c r="A164" s="12" t="s">
        <v>123</v>
      </c>
      <c r="B164" s="115" t="s">
        <v>121</v>
      </c>
      <c r="C164" s="115"/>
      <c r="D164" s="13">
        <v>0</v>
      </c>
      <c r="E164" s="89">
        <v>0</v>
      </c>
    </row>
    <row r="165" spans="1:5" ht="17.25">
      <c r="A165" s="10" t="s">
        <v>124</v>
      </c>
      <c r="B165" s="221"/>
      <c r="C165" s="221"/>
      <c r="D165" s="221"/>
      <c r="E165" s="156"/>
    </row>
    <row r="166" spans="1:5" ht="17.25">
      <c r="A166" s="12" t="s">
        <v>120</v>
      </c>
      <c r="B166" s="115" t="s">
        <v>121</v>
      </c>
      <c r="C166" s="115"/>
      <c r="D166" s="13">
        <v>0</v>
      </c>
      <c r="E166" s="89">
        <v>0</v>
      </c>
    </row>
    <row r="167" spans="1:5" ht="17.25">
      <c r="A167" s="12" t="s">
        <v>122</v>
      </c>
      <c r="B167" s="115" t="s">
        <v>121</v>
      </c>
      <c r="C167" s="115"/>
      <c r="D167" s="13">
        <v>0</v>
      </c>
      <c r="E167" s="89">
        <v>0</v>
      </c>
    </row>
    <row r="168" spans="1:5" ht="18">
      <c r="A168" s="24" t="s">
        <v>123</v>
      </c>
      <c r="B168" s="271" t="s">
        <v>121</v>
      </c>
      <c r="C168" s="271"/>
      <c r="D168" s="25">
        <v>0</v>
      </c>
      <c r="E168" s="258">
        <v>0</v>
      </c>
    </row>
    <row r="169" ht="17.25">
      <c r="E169" s="20"/>
    </row>
    <row r="171" spans="1:6" ht="17.25">
      <c r="A171" s="252" t="s">
        <v>125</v>
      </c>
      <c r="B171" s="252"/>
      <c r="C171" s="252"/>
      <c r="D171" s="252"/>
      <c r="E171" s="252"/>
      <c r="F171" s="252"/>
    </row>
    <row r="172" spans="1:3" s="63" customFormat="1" ht="9.75" customHeight="1">
      <c r="A172" s="253"/>
      <c r="B172" s="253"/>
      <c r="C172" s="253"/>
    </row>
    <row r="173" spans="1:9" ht="18">
      <c r="A173" s="300"/>
      <c r="B173" s="301"/>
      <c r="C173" s="301"/>
      <c r="D173" s="4" t="s">
        <v>126</v>
      </c>
      <c r="E173" s="5" t="s">
        <v>127</v>
      </c>
      <c r="I173" s="63"/>
    </row>
    <row r="174" spans="1:5" ht="17.25">
      <c r="A174" s="196" t="s">
        <v>128</v>
      </c>
      <c r="B174" s="202"/>
      <c r="C174" s="202"/>
      <c r="D174" s="269" t="s">
        <v>129</v>
      </c>
      <c r="E174" s="87">
        <v>10</v>
      </c>
    </row>
    <row r="175" spans="1:5" ht="18">
      <c r="A175" s="200" t="s">
        <v>130</v>
      </c>
      <c r="B175" s="226"/>
      <c r="C175" s="226"/>
      <c r="D175" s="271" t="s">
        <v>131</v>
      </c>
      <c r="E175" s="258">
        <v>200</v>
      </c>
    </row>
  </sheetData>
  <sheetProtection password="D03F" sheet="1" objects="1" scenarios="1" selectLockedCells="1"/>
  <mergeCells count="124">
    <mergeCell ref="A7:E7"/>
    <mergeCell ref="B9:C9"/>
    <mergeCell ref="H9:J9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A69:F69"/>
    <mergeCell ref="A70:F70"/>
    <mergeCell ref="A71:F71"/>
    <mergeCell ref="A74:E74"/>
    <mergeCell ref="B76:C76"/>
    <mergeCell ref="B77:C77"/>
    <mergeCell ref="B78:C78"/>
    <mergeCell ref="B79:C79"/>
    <mergeCell ref="B80:C80"/>
    <mergeCell ref="B82:C82"/>
    <mergeCell ref="B83:C83"/>
    <mergeCell ref="B84:C84"/>
    <mergeCell ref="B86:C86"/>
    <mergeCell ref="B87:C87"/>
    <mergeCell ref="B88:C88"/>
    <mergeCell ref="B90:C90"/>
    <mergeCell ref="B91:C91"/>
    <mergeCell ref="B92:C92"/>
    <mergeCell ref="A95:D95"/>
    <mergeCell ref="A102:D102"/>
    <mergeCell ref="B104:C104"/>
    <mergeCell ref="B106:C106"/>
    <mergeCell ref="B107:C107"/>
    <mergeCell ref="B108:C108"/>
    <mergeCell ref="B109:C109"/>
    <mergeCell ref="B110:C110"/>
    <mergeCell ref="B112:C112"/>
    <mergeCell ref="B113:C113"/>
    <mergeCell ref="B114:C114"/>
    <mergeCell ref="B115:C115"/>
    <mergeCell ref="B116:C116"/>
    <mergeCell ref="A119:D119"/>
    <mergeCell ref="B121:C121"/>
    <mergeCell ref="B122:C122"/>
    <mergeCell ref="B123:C123"/>
    <mergeCell ref="B124:C124"/>
    <mergeCell ref="B125:C125"/>
    <mergeCell ref="A128:H128"/>
    <mergeCell ref="C137:D137"/>
    <mergeCell ref="C144:D144"/>
    <mergeCell ref="C145:D145"/>
    <mergeCell ref="C146:D146"/>
    <mergeCell ref="C147:D147"/>
    <mergeCell ref="C148:D148"/>
    <mergeCell ref="B151:D151"/>
    <mergeCell ref="B154:C154"/>
    <mergeCell ref="B155:C155"/>
    <mergeCell ref="A158:E158"/>
    <mergeCell ref="B160:C160"/>
    <mergeCell ref="B162:C162"/>
    <mergeCell ref="B163:C163"/>
    <mergeCell ref="B164:C164"/>
    <mergeCell ref="B166:C166"/>
    <mergeCell ref="B167:C167"/>
    <mergeCell ref="B168:C168"/>
    <mergeCell ref="A171:F171"/>
    <mergeCell ref="A173:C173"/>
    <mergeCell ref="A174:C174"/>
    <mergeCell ref="A175:C175"/>
  </mergeCells>
  <printOptions/>
  <pageMargins left="0.51" right="0.51" top="0.79" bottom="0.79" header="0.31" footer="0.31"/>
  <pageSetup horizontalDpi="600" verticalDpi="600" orientation="portrait" paperSize="9" scale="47"/>
  <rowBreaks count="1" manualBreakCount="1">
    <brk id="94" max="7" man="1"/>
  </rowBreaks>
  <colBreaks count="1" manualBreakCount="1">
    <brk id="8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7:F81"/>
  <sheetViews>
    <sheetView workbookViewId="0" topLeftCell="A1">
      <selection activeCell="F13" sqref="F13"/>
    </sheetView>
  </sheetViews>
  <sheetFormatPr defaultColWidth="9.140625" defaultRowHeight="15"/>
  <cols>
    <col min="1" max="1" width="22.421875" style="1" customWidth="1"/>
    <col min="2" max="2" width="2.7109375" style="1" customWidth="1"/>
    <col min="3" max="3" width="32.00390625" style="1" bestFit="1" customWidth="1"/>
    <col min="4" max="4" width="20.7109375" style="2" customWidth="1"/>
    <col min="5" max="5" width="0.42578125" style="2" customWidth="1"/>
    <col min="6" max="6" width="20.7109375" style="2" customWidth="1"/>
    <col min="7" max="16384" width="9.140625" style="1" customWidth="1"/>
  </cols>
  <sheetData>
    <row r="1" ht="17.25"/>
    <row r="2" ht="17.25"/>
    <row r="3" ht="17.25"/>
    <row r="4" ht="17.25"/>
    <row r="5" ht="17.25"/>
    <row r="7" spans="2:6" ht="18">
      <c r="B7" s="3" t="s">
        <v>132</v>
      </c>
      <c r="C7" s="4"/>
      <c r="D7" s="4"/>
      <c r="E7" s="4"/>
      <c r="F7" s="5"/>
    </row>
    <row r="9" spans="2:6" ht="17.25">
      <c r="B9" s="131" t="s">
        <v>133</v>
      </c>
      <c r="C9" s="132"/>
      <c r="D9" s="133" t="s">
        <v>134</v>
      </c>
      <c r="E9" s="134" t="s">
        <v>135</v>
      </c>
      <c r="F9" s="135" t="s">
        <v>135</v>
      </c>
    </row>
    <row r="10" spans="2:6" ht="18">
      <c r="B10" s="136"/>
      <c r="C10" s="137"/>
      <c r="D10" s="138"/>
      <c r="E10" s="139"/>
      <c r="F10" s="140"/>
    </row>
    <row r="11" spans="2:6" ht="17.25">
      <c r="B11" s="141" t="s">
        <v>86</v>
      </c>
      <c r="C11" s="142"/>
      <c r="D11" s="143"/>
      <c r="E11" s="144"/>
      <c r="F11" s="145"/>
    </row>
    <row r="12" spans="2:6" ht="17.25">
      <c r="B12" s="12"/>
      <c r="C12" s="146" t="s">
        <v>136</v>
      </c>
      <c r="D12" s="147" t="s">
        <v>137</v>
      </c>
      <c r="E12" s="148"/>
      <c r="F12" s="149">
        <v>250</v>
      </c>
    </row>
    <row r="13" spans="2:6" ht="17.25">
      <c r="B13" s="12"/>
      <c r="C13" s="146" t="s">
        <v>88</v>
      </c>
      <c r="D13" s="147" t="s">
        <v>138</v>
      </c>
      <c r="E13" s="148"/>
      <c r="F13" s="149">
        <v>11</v>
      </c>
    </row>
    <row r="14" spans="2:6" ht="17.25">
      <c r="B14" s="150" t="s">
        <v>139</v>
      </c>
      <c r="C14" s="151"/>
      <c r="D14" s="147"/>
      <c r="E14" s="152"/>
      <c r="F14" s="153"/>
    </row>
    <row r="15" spans="2:6" ht="17.25">
      <c r="B15" s="12"/>
      <c r="C15" s="154" t="s">
        <v>140</v>
      </c>
      <c r="D15" s="144" t="s">
        <v>141</v>
      </c>
      <c r="E15" s="148"/>
      <c r="F15" s="149">
        <v>21750</v>
      </c>
    </row>
    <row r="16" spans="2:6" ht="17.25">
      <c r="B16" s="12"/>
      <c r="C16" s="146" t="str">
        <f>'INSUMOS - QUANTIDADES'!A132</f>
        <v>Carreta 4 rodas</v>
      </c>
      <c r="D16" s="144" t="s">
        <v>141</v>
      </c>
      <c r="E16" s="148"/>
      <c r="F16" s="149">
        <v>4625</v>
      </c>
    </row>
    <row r="17" spans="2:6" ht="17.25">
      <c r="B17" s="12"/>
      <c r="C17" s="146" t="str">
        <f>'INSUMOS - QUANTIDADES'!A133</f>
        <v>Ensiladeira</v>
      </c>
      <c r="D17" s="144" t="s">
        <v>141</v>
      </c>
      <c r="E17" s="148"/>
      <c r="F17" s="149">
        <v>5500</v>
      </c>
    </row>
    <row r="18" spans="2:6" ht="17.25">
      <c r="B18" s="12"/>
      <c r="C18" s="146" t="str">
        <f>'INSUMOS - QUANTIDADES'!A134</f>
        <v>Equipamento 1</v>
      </c>
      <c r="D18" s="144" t="s">
        <v>141</v>
      </c>
      <c r="E18" s="148"/>
      <c r="F18" s="149"/>
    </row>
    <row r="19" spans="2:6" ht="17.25">
      <c r="B19" s="12"/>
      <c r="C19" s="146" t="str">
        <f>'INSUMOS - QUANTIDADES'!A135</f>
        <v>Equipamento 2</v>
      </c>
      <c r="D19" s="144" t="s">
        <v>141</v>
      </c>
      <c r="E19" s="148"/>
      <c r="F19" s="149"/>
    </row>
    <row r="20" spans="2:6" ht="17.25">
      <c r="B20" s="12"/>
      <c r="C20" s="146" t="str">
        <f>'INSUMOS - QUANTIDADES'!A136</f>
        <v>Equipamento 3</v>
      </c>
      <c r="D20" s="144" t="s">
        <v>141</v>
      </c>
      <c r="E20" s="148"/>
      <c r="F20" s="149"/>
    </row>
    <row r="21" spans="2:6" ht="17.25">
      <c r="B21" s="12"/>
      <c r="C21" s="146" t="str">
        <f>'INSUMOS - QUANTIDADES'!A138</f>
        <v>Balança</v>
      </c>
      <c r="D21" s="144" t="s">
        <v>141</v>
      </c>
      <c r="E21" s="148"/>
      <c r="F21" s="149">
        <v>500</v>
      </c>
    </row>
    <row r="22" spans="2:6" ht="17.25">
      <c r="B22" s="12"/>
      <c r="C22" s="146" t="str">
        <f>'INSUMOS - QUANTIDADES'!A139</f>
        <v>Equipamento 5</v>
      </c>
      <c r="D22" s="144" t="s">
        <v>141</v>
      </c>
      <c r="E22" s="148"/>
      <c r="F22" s="149"/>
    </row>
    <row r="23" spans="2:6" ht="17.25">
      <c r="B23" s="12"/>
      <c r="C23" s="146" t="str">
        <f>'INSUMOS - QUANTIDADES'!A140</f>
        <v>Equipamento 6</v>
      </c>
      <c r="D23" s="144" t="s">
        <v>141</v>
      </c>
      <c r="E23" s="148"/>
      <c r="F23" s="149"/>
    </row>
    <row r="24" spans="2:6" ht="17.25">
      <c r="B24" s="12"/>
      <c r="C24" s="146" t="str">
        <f>'INSUMOS - QUANTIDADES'!A141</f>
        <v>Equipamento 7</v>
      </c>
      <c r="D24" s="144" t="s">
        <v>141</v>
      </c>
      <c r="E24" s="148"/>
      <c r="F24" s="149"/>
    </row>
    <row r="25" spans="2:6" ht="17.25">
      <c r="B25" s="12"/>
      <c r="C25" s="146" t="str">
        <f>'INSUMOS - QUANTIDADES'!A142</f>
        <v>Equipamento 8</v>
      </c>
      <c r="D25" s="144" t="s">
        <v>141</v>
      </c>
      <c r="E25" s="148"/>
      <c r="F25" s="149"/>
    </row>
    <row r="26" spans="2:6" ht="17.25">
      <c r="B26" s="12"/>
      <c r="C26" s="146" t="str">
        <f>'INSUMOS - QUANTIDADES'!A143</f>
        <v>Equipamento 9</v>
      </c>
      <c r="D26" s="144" t="s">
        <v>141</v>
      </c>
      <c r="E26" s="148"/>
      <c r="F26" s="149"/>
    </row>
    <row r="27" spans="2:6" ht="17.25">
      <c r="B27" s="155" t="s">
        <v>142</v>
      </c>
      <c r="C27" s="156"/>
      <c r="D27" s="147"/>
      <c r="E27" s="157"/>
      <c r="F27" s="153"/>
    </row>
    <row r="28" spans="2:6" s="129" customFormat="1" ht="17.25">
      <c r="B28" s="158"/>
      <c r="C28" s="154" t="s">
        <v>143</v>
      </c>
      <c r="D28" s="144" t="s">
        <v>144</v>
      </c>
      <c r="E28" s="148"/>
      <c r="F28" s="149">
        <v>325</v>
      </c>
    </row>
    <row r="29" spans="2:6" s="129" customFormat="1" ht="17.25">
      <c r="B29" s="158"/>
      <c r="C29" s="154" t="s">
        <v>37</v>
      </c>
      <c r="D29" s="144" t="s">
        <v>145</v>
      </c>
      <c r="E29" s="148"/>
      <c r="F29" s="149">
        <v>1250</v>
      </c>
    </row>
    <row r="30" spans="2:6" s="129" customFormat="1" ht="17.25">
      <c r="B30" s="158"/>
      <c r="C30" s="154" t="s">
        <v>112</v>
      </c>
      <c r="D30" s="144" t="s">
        <v>146</v>
      </c>
      <c r="E30" s="148"/>
      <c r="F30" s="149">
        <v>300</v>
      </c>
    </row>
    <row r="31" spans="2:6" ht="17.25">
      <c r="B31" s="150" t="s">
        <v>147</v>
      </c>
      <c r="C31" s="151"/>
      <c r="D31" s="147"/>
      <c r="E31" s="157"/>
      <c r="F31" s="153"/>
    </row>
    <row r="32" spans="2:6" s="129" customFormat="1" ht="17.25">
      <c r="B32" s="158"/>
      <c r="C32" s="154" t="str">
        <f>'INSUMOS - QUANTIDADES'!A106</f>
        <v>   Funcionário 1</v>
      </c>
      <c r="D32" s="144" t="s">
        <v>148</v>
      </c>
      <c r="E32" s="148"/>
      <c r="F32" s="149">
        <v>1050</v>
      </c>
    </row>
    <row r="33" spans="2:6" ht="17.25">
      <c r="B33" s="12"/>
      <c r="C33" s="146" t="str">
        <f>'INSUMOS - QUANTIDADES'!A107</f>
        <v>   Funcionário 2</v>
      </c>
      <c r="D33" s="147" t="s">
        <v>148</v>
      </c>
      <c r="E33" s="148"/>
      <c r="F33" s="149">
        <v>0</v>
      </c>
    </row>
    <row r="34" spans="2:6" ht="17.25">
      <c r="B34" s="12"/>
      <c r="C34" s="146" t="str">
        <f>'INSUMOS - QUANTIDADES'!A108</f>
        <v>   Funcionário 3</v>
      </c>
      <c r="D34" s="147" t="s">
        <v>148</v>
      </c>
      <c r="E34" s="148"/>
      <c r="F34" s="149">
        <v>0</v>
      </c>
    </row>
    <row r="35" spans="2:6" ht="17.25">
      <c r="B35" s="12"/>
      <c r="C35" s="146" t="str">
        <f>'INSUMOS - QUANTIDADES'!A109</f>
        <v>   Funcionário 4</v>
      </c>
      <c r="D35" s="147" t="s">
        <v>148</v>
      </c>
      <c r="E35" s="148"/>
      <c r="F35" s="149">
        <v>0</v>
      </c>
    </row>
    <row r="36" spans="2:6" ht="17.25">
      <c r="B36" s="12"/>
      <c r="C36" s="146" t="str">
        <f>'INSUMOS - QUANTIDADES'!A110</f>
        <v>   Funcionário 5</v>
      </c>
      <c r="D36" s="147" t="s">
        <v>148</v>
      </c>
      <c r="E36" s="148"/>
      <c r="F36" s="149">
        <v>0</v>
      </c>
    </row>
    <row r="37" spans="2:6" ht="17.25">
      <c r="B37" s="150" t="s">
        <v>149</v>
      </c>
      <c r="C37" s="151"/>
      <c r="D37" s="147"/>
      <c r="E37" s="157"/>
      <c r="F37" s="153"/>
    </row>
    <row r="38" spans="2:6" s="129" customFormat="1" ht="17.25">
      <c r="B38" s="159"/>
      <c r="C38" s="160" t="str">
        <f>'INSUMOS - QUANTIDADES'!A112</f>
        <v>   Funcionário 6</v>
      </c>
      <c r="D38" s="144" t="s">
        <v>150</v>
      </c>
      <c r="E38" s="148"/>
      <c r="F38" s="149">
        <v>50</v>
      </c>
    </row>
    <row r="39" spans="2:6" ht="17.25">
      <c r="B39" s="150"/>
      <c r="C39" s="161" t="str">
        <f>'INSUMOS - QUANTIDADES'!A113</f>
        <v>   Funcionário 7</v>
      </c>
      <c r="D39" s="147" t="s">
        <v>150</v>
      </c>
      <c r="E39" s="148"/>
      <c r="F39" s="149">
        <v>0</v>
      </c>
    </row>
    <row r="40" spans="2:6" ht="17.25">
      <c r="B40" s="150"/>
      <c r="C40" s="161" t="str">
        <f>'INSUMOS - QUANTIDADES'!A114</f>
        <v>   Funcionário 8</v>
      </c>
      <c r="D40" s="147" t="s">
        <v>150</v>
      </c>
      <c r="E40" s="148"/>
      <c r="F40" s="149">
        <v>0</v>
      </c>
    </row>
    <row r="41" spans="2:6" ht="17.25">
      <c r="B41" s="150"/>
      <c r="C41" s="161" t="str">
        <f>'INSUMOS - QUANTIDADES'!A115</f>
        <v>   Funcionário 9</v>
      </c>
      <c r="D41" s="147" t="s">
        <v>150</v>
      </c>
      <c r="E41" s="148"/>
      <c r="F41" s="149">
        <v>0</v>
      </c>
    </row>
    <row r="42" spans="2:6" ht="17.25">
      <c r="B42" s="150"/>
      <c r="C42" s="161" t="str">
        <f>'INSUMOS - QUANTIDADES'!A116</f>
        <v>   Funcionário 10</v>
      </c>
      <c r="D42" s="147" t="s">
        <v>150</v>
      </c>
      <c r="E42" s="148"/>
      <c r="F42" s="149">
        <v>0</v>
      </c>
    </row>
    <row r="43" spans="2:6" ht="17.25">
      <c r="B43" s="150" t="s">
        <v>151</v>
      </c>
      <c r="C43" s="151"/>
      <c r="D43" s="147"/>
      <c r="E43" s="157"/>
      <c r="F43" s="153"/>
    </row>
    <row r="44" spans="2:6" s="129" customFormat="1" ht="17.25">
      <c r="B44" s="162"/>
      <c r="C44" s="163" t="s">
        <v>152</v>
      </c>
      <c r="D44" s="144" t="s">
        <v>153</v>
      </c>
      <c r="E44" s="148"/>
      <c r="F44" s="149">
        <v>2.028</v>
      </c>
    </row>
    <row r="45" spans="2:6" ht="17.25">
      <c r="B45" s="164"/>
      <c r="C45" s="165" t="s">
        <v>154</v>
      </c>
      <c r="D45" s="147" t="s">
        <v>155</v>
      </c>
      <c r="E45" s="148"/>
      <c r="F45" s="149">
        <v>0.21557</v>
      </c>
    </row>
    <row r="46" spans="2:6" ht="17.25">
      <c r="B46" s="150" t="s">
        <v>156</v>
      </c>
      <c r="C46" s="151"/>
      <c r="D46" s="166"/>
      <c r="E46" s="157"/>
      <c r="F46" s="153"/>
    </row>
    <row r="47" spans="2:6" ht="17.25">
      <c r="B47" s="150"/>
      <c r="C47" s="161" t="s">
        <v>157</v>
      </c>
      <c r="D47" s="144" t="s">
        <v>158</v>
      </c>
      <c r="E47" s="148"/>
      <c r="F47" s="149">
        <v>0</v>
      </c>
    </row>
    <row r="48" spans="2:6" s="129" customFormat="1" ht="17.25">
      <c r="B48" s="158"/>
      <c r="C48" s="154" t="s">
        <v>159</v>
      </c>
      <c r="D48" s="144" t="s">
        <v>158</v>
      </c>
      <c r="E48" s="148"/>
      <c r="F48" s="149">
        <v>35</v>
      </c>
    </row>
    <row r="49" spans="2:6" ht="17.25">
      <c r="B49" s="12"/>
      <c r="C49" s="154" t="s">
        <v>160</v>
      </c>
      <c r="D49" s="144" t="s">
        <v>158</v>
      </c>
      <c r="E49" s="148"/>
      <c r="F49" s="149">
        <v>0</v>
      </c>
    </row>
    <row r="50" spans="2:6" ht="17.25">
      <c r="B50" s="150" t="s">
        <v>161</v>
      </c>
      <c r="C50" s="151"/>
      <c r="D50" s="147"/>
      <c r="E50" s="157"/>
      <c r="F50" s="153"/>
    </row>
    <row r="51" spans="2:6" s="129" customFormat="1" ht="17.25">
      <c r="B51" s="158"/>
      <c r="C51" s="154" t="str">
        <f>'INSUMOS - QUANTIDADES'!B13</f>
        <v>Outro alimento</v>
      </c>
      <c r="D51" s="144" t="s">
        <v>158</v>
      </c>
      <c r="E51" s="148"/>
      <c r="F51" s="149">
        <v>55</v>
      </c>
    </row>
    <row r="52" spans="2:6" ht="17.25">
      <c r="B52" s="12"/>
      <c r="C52" s="154" t="str">
        <f>'INSUMOS - QUANTIDADES'!B14</f>
        <v>Cana de açúcar</v>
      </c>
      <c r="D52" s="144" t="s">
        <v>158</v>
      </c>
      <c r="E52" s="148"/>
      <c r="F52" s="149">
        <v>53.74</v>
      </c>
    </row>
    <row r="53" spans="2:6" ht="17.25">
      <c r="B53" s="12"/>
      <c r="C53" s="154" t="str">
        <f>'INSUMOS - QUANTIDADES'!B15</f>
        <v>Outro alimento</v>
      </c>
      <c r="D53" s="144" t="s">
        <v>158</v>
      </c>
      <c r="E53" s="148"/>
      <c r="F53" s="149">
        <v>0</v>
      </c>
    </row>
    <row r="54" spans="2:6" ht="17.25">
      <c r="B54" s="12"/>
      <c r="C54" s="154" t="str">
        <f>'INSUMOS - QUANTIDADES'!B16</f>
        <v>Outro alimento</v>
      </c>
      <c r="D54" s="144" t="s">
        <v>158</v>
      </c>
      <c r="E54" s="148"/>
      <c r="F54" s="149">
        <v>0</v>
      </c>
    </row>
    <row r="55" spans="2:6" s="130" customFormat="1" ht="17.25">
      <c r="B55" s="159" t="s">
        <v>162</v>
      </c>
      <c r="C55" s="167"/>
      <c r="D55" s="144" t="s">
        <v>163</v>
      </c>
      <c r="E55" s="148"/>
      <c r="F55" s="149">
        <v>1.63</v>
      </c>
    </row>
    <row r="56" spans="2:6" ht="17.25">
      <c r="B56" s="150" t="s">
        <v>164</v>
      </c>
      <c r="C56" s="151"/>
      <c r="D56" s="147"/>
      <c r="E56" s="157"/>
      <c r="F56" s="153"/>
    </row>
    <row r="57" spans="2:6" s="129" customFormat="1" ht="17.25">
      <c r="B57" s="158"/>
      <c r="C57" s="154" t="s">
        <v>165</v>
      </c>
      <c r="D57" s="144" t="s">
        <v>163</v>
      </c>
      <c r="E57" s="148"/>
      <c r="F57" s="149">
        <v>0.635</v>
      </c>
    </row>
    <row r="58" spans="2:6" s="130" customFormat="1" ht="17.25">
      <c r="B58" s="168"/>
      <c r="C58" s="154" t="s">
        <v>166</v>
      </c>
      <c r="D58" s="144" t="s">
        <v>163</v>
      </c>
      <c r="E58" s="148"/>
      <c r="F58" s="149">
        <v>1.6</v>
      </c>
    </row>
    <row r="59" spans="2:6" s="129" customFormat="1" ht="17.25">
      <c r="B59" s="158"/>
      <c r="C59" s="154" t="str">
        <f>'INSUMOS - QUANTIDADES'!B17</f>
        <v>Concentrado creep</v>
      </c>
      <c r="D59" s="144" t="s">
        <v>163</v>
      </c>
      <c r="E59" s="148"/>
      <c r="F59" s="149">
        <v>0.8153000000000001</v>
      </c>
    </row>
    <row r="60" spans="2:6" s="129" customFormat="1" ht="17.25">
      <c r="B60" s="158"/>
      <c r="C60" s="154" t="str">
        <f>'INSUMOS - QUANTIDADES'!B24</f>
        <v>Concentrado terminação</v>
      </c>
      <c r="D60" s="144" t="s">
        <v>163</v>
      </c>
      <c r="E60" s="148"/>
      <c r="F60" s="149">
        <v>0.8153000000000001</v>
      </c>
    </row>
    <row r="61" spans="2:6" ht="17.25">
      <c r="B61" s="12"/>
      <c r="C61" s="154" t="str">
        <f>'INSUMOS - QUANTIDADES'!B32</f>
        <v>Concentrado adultos</v>
      </c>
      <c r="D61" s="147" t="s">
        <v>163</v>
      </c>
      <c r="E61" s="148"/>
      <c r="F61" s="149">
        <v>0.8153000000000001</v>
      </c>
    </row>
    <row r="62" spans="2:6" ht="17.25">
      <c r="B62" s="150" t="s">
        <v>167</v>
      </c>
      <c r="C62" s="151"/>
      <c r="D62" s="147"/>
      <c r="E62" s="157"/>
      <c r="F62" s="153"/>
    </row>
    <row r="63" spans="2:6" s="129" customFormat="1" ht="17.25">
      <c r="B63" s="169"/>
      <c r="C63" s="160" t="s">
        <v>168</v>
      </c>
      <c r="D63" s="144" t="s">
        <v>169</v>
      </c>
      <c r="E63" s="148"/>
      <c r="F63" s="149">
        <v>0.945</v>
      </c>
    </row>
    <row r="64" spans="2:6" ht="17.25">
      <c r="B64" s="170"/>
      <c r="C64" s="161" t="s">
        <v>54</v>
      </c>
      <c r="D64" s="147" t="s">
        <v>169</v>
      </c>
      <c r="E64" s="148"/>
      <c r="F64" s="149">
        <v>0</v>
      </c>
    </row>
    <row r="65" spans="2:6" s="129" customFormat="1" ht="17.25">
      <c r="B65" s="158"/>
      <c r="C65" s="154" t="s">
        <v>170</v>
      </c>
      <c r="D65" s="144" t="s">
        <v>171</v>
      </c>
      <c r="E65" s="148"/>
      <c r="F65" s="149">
        <v>0.06686</v>
      </c>
    </row>
    <row r="66" spans="2:6" ht="17.25">
      <c r="B66" s="12"/>
      <c r="C66" s="154" t="s">
        <v>172</v>
      </c>
      <c r="D66" s="147" t="s">
        <v>171</v>
      </c>
      <c r="E66" s="148"/>
      <c r="F66" s="149">
        <v>0</v>
      </c>
    </row>
    <row r="67" spans="2:6" ht="17.25">
      <c r="B67" s="150" t="s">
        <v>173</v>
      </c>
      <c r="C67" s="151"/>
      <c r="D67" s="147"/>
      <c r="E67" s="157"/>
      <c r="F67" s="153"/>
    </row>
    <row r="68" spans="2:6" ht="17.25">
      <c r="B68" s="12"/>
      <c r="C68" s="146" t="s">
        <v>62</v>
      </c>
      <c r="D68" s="147" t="s">
        <v>174</v>
      </c>
      <c r="E68" s="148"/>
      <c r="F68" s="149">
        <v>0</v>
      </c>
    </row>
    <row r="69" spans="2:6" ht="17.25">
      <c r="B69" s="12"/>
      <c r="C69" s="146" t="s">
        <v>63</v>
      </c>
      <c r="D69" s="147" t="s">
        <v>174</v>
      </c>
      <c r="E69" s="148"/>
      <c r="F69" s="149">
        <v>0</v>
      </c>
    </row>
    <row r="70" spans="2:6" ht="17.25">
      <c r="B70" s="150" t="s">
        <v>175</v>
      </c>
      <c r="C70" s="151"/>
      <c r="D70" s="147"/>
      <c r="E70" s="157"/>
      <c r="F70" s="153"/>
    </row>
    <row r="71" spans="2:6" s="129" customFormat="1" ht="17.25">
      <c r="B71" s="158"/>
      <c r="C71" s="154" t="s">
        <v>176</v>
      </c>
      <c r="D71" s="144" t="s">
        <v>177</v>
      </c>
      <c r="E71" s="148"/>
      <c r="F71" s="149">
        <v>1746.5500000000002</v>
      </c>
    </row>
    <row r="72" spans="2:6" ht="17.25">
      <c r="B72" s="150" t="s">
        <v>178</v>
      </c>
      <c r="C72" s="151"/>
      <c r="D72" s="147"/>
      <c r="E72" s="157"/>
      <c r="F72" s="153"/>
    </row>
    <row r="73" spans="2:6" ht="17.25">
      <c r="B73" s="12"/>
      <c r="C73" s="146" t="s">
        <v>179</v>
      </c>
      <c r="D73" s="147" t="s">
        <v>180</v>
      </c>
      <c r="E73" s="148"/>
      <c r="F73" s="149">
        <v>500</v>
      </c>
    </row>
    <row r="74" spans="2:6" ht="17.25">
      <c r="B74" s="12"/>
      <c r="C74" s="146" t="s">
        <v>181</v>
      </c>
      <c r="D74" s="147" t="s">
        <v>180</v>
      </c>
      <c r="E74" s="148"/>
      <c r="F74" s="149">
        <v>100</v>
      </c>
    </row>
    <row r="75" spans="2:6" ht="17.25">
      <c r="B75" s="150" t="s">
        <v>182</v>
      </c>
      <c r="C75" s="151"/>
      <c r="D75" s="147"/>
      <c r="E75" s="157"/>
      <c r="F75" s="153"/>
    </row>
    <row r="76" spans="2:6" ht="17.25">
      <c r="B76" s="12"/>
      <c r="C76" s="146" t="s">
        <v>183</v>
      </c>
      <c r="D76" s="147" t="s">
        <v>180</v>
      </c>
      <c r="E76" s="148"/>
      <c r="F76" s="149">
        <v>100</v>
      </c>
    </row>
    <row r="77" spans="2:6" ht="17.25">
      <c r="B77" s="12"/>
      <c r="C77" s="146" t="s">
        <v>184</v>
      </c>
      <c r="D77" s="147" t="s">
        <v>180</v>
      </c>
      <c r="E77" s="148"/>
      <c r="F77" s="149">
        <v>0</v>
      </c>
    </row>
    <row r="78" spans="2:6" s="129" customFormat="1" ht="17.25">
      <c r="B78" s="159" t="s">
        <v>185</v>
      </c>
      <c r="C78" s="167"/>
      <c r="D78" s="144" t="s">
        <v>186</v>
      </c>
      <c r="E78" s="171"/>
      <c r="F78" s="172">
        <v>0.053579</v>
      </c>
    </row>
    <row r="79" spans="2:6" ht="18">
      <c r="B79" s="173" t="s">
        <v>187</v>
      </c>
      <c r="C79" s="174"/>
      <c r="D79" s="175" t="s">
        <v>186</v>
      </c>
      <c r="E79" s="176"/>
      <c r="F79" s="177">
        <v>0.053579</v>
      </c>
    </row>
    <row r="81" ht="17.25">
      <c r="E81" s="178"/>
    </row>
  </sheetData>
  <sheetProtection password="D03F" sheet="1" objects="1" scenarios="1" selectLockedCells="1"/>
  <mergeCells count="18">
    <mergeCell ref="B7:F7"/>
    <mergeCell ref="B31:C31"/>
    <mergeCell ref="B37:C37"/>
    <mergeCell ref="B43:C43"/>
    <mergeCell ref="B46:C46"/>
    <mergeCell ref="B50:C50"/>
    <mergeCell ref="B55:C55"/>
    <mergeCell ref="B56:C56"/>
    <mergeCell ref="B62:C62"/>
    <mergeCell ref="B67:C67"/>
    <mergeCell ref="B70:C70"/>
    <mergeCell ref="B72:C72"/>
    <mergeCell ref="B75:C75"/>
    <mergeCell ref="B78:C78"/>
    <mergeCell ref="B79:C79"/>
    <mergeCell ref="D9:D10"/>
    <mergeCell ref="F9:F10"/>
    <mergeCell ref="B9:C10"/>
  </mergeCells>
  <printOptions/>
  <pageMargins left="0.51" right="0.51" top="0.79" bottom="0.79" header="0.31" footer="0.31"/>
  <pageSetup horizontalDpi="300" verticalDpi="300" orientation="portrait" paperSize="9" scale="73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M166"/>
  <sheetViews>
    <sheetView zoomScale="85" zoomScaleNormal="85" zoomScaleSheetLayoutView="85" workbookViewId="0" topLeftCell="A1">
      <selection activeCell="M11" sqref="M11"/>
    </sheetView>
  </sheetViews>
  <sheetFormatPr defaultColWidth="9.140625" defaultRowHeight="18.75" customHeight="1"/>
  <cols>
    <col min="1" max="1" width="3.7109375" style="1" customWidth="1"/>
    <col min="2" max="2" width="5.00390625" style="64" customWidth="1"/>
    <col min="3" max="3" width="3.7109375" style="64" customWidth="1"/>
    <col min="4" max="4" width="5.00390625" style="64" bestFit="1" customWidth="1"/>
    <col min="5" max="5" width="6.8515625" style="1" bestFit="1" customWidth="1"/>
    <col min="6" max="6" width="8.7109375" style="1" bestFit="1" customWidth="1"/>
    <col min="7" max="7" width="38.57421875" style="1" customWidth="1"/>
    <col min="8" max="9" width="17.7109375" style="2" customWidth="1"/>
    <col min="10" max="10" width="22.8515625" style="65" bestFit="1" customWidth="1"/>
    <col min="11" max="11" width="3.57421875" style="1" customWidth="1"/>
    <col min="12" max="12" width="61.8515625" style="1" bestFit="1" customWidth="1"/>
    <col min="13" max="13" width="9.8515625" style="1" bestFit="1" customWidth="1"/>
    <col min="14" max="16384" width="9.140625" style="1" customWidth="1"/>
  </cols>
  <sheetData>
    <row r="7" spans="1:10" ht="18.75" customHeight="1">
      <c r="A7" s="3" t="s">
        <v>188</v>
      </c>
      <c r="B7" s="4"/>
      <c r="C7" s="4"/>
      <c r="D7" s="4"/>
      <c r="E7" s="4"/>
      <c r="F7" s="4"/>
      <c r="G7" s="4"/>
      <c r="H7" s="4"/>
      <c r="I7" s="4"/>
      <c r="J7" s="5"/>
    </row>
    <row r="9" spans="1:13" ht="18.75" customHeight="1">
      <c r="A9" s="6" t="s">
        <v>189</v>
      </c>
      <c r="B9" s="66" t="s">
        <v>190</v>
      </c>
      <c r="C9" s="66"/>
      <c r="D9" s="66"/>
      <c r="E9" s="66"/>
      <c r="F9" s="66"/>
      <c r="G9" s="66"/>
      <c r="H9" s="67" t="s">
        <v>191</v>
      </c>
      <c r="I9" s="4" t="s">
        <v>126</v>
      </c>
      <c r="J9" s="82" t="s">
        <v>192</v>
      </c>
      <c r="L9" s="3" t="s">
        <v>193</v>
      </c>
      <c r="M9" s="5"/>
    </row>
    <row r="10" spans="1:13" s="62" customFormat="1" ht="18.75" customHeight="1">
      <c r="A10" s="68"/>
      <c r="B10" s="69" t="s">
        <v>194</v>
      </c>
      <c r="C10" s="70" t="s">
        <v>195</v>
      </c>
      <c r="D10" s="70"/>
      <c r="E10" s="70"/>
      <c r="F10" s="70"/>
      <c r="G10" s="71"/>
      <c r="H10" s="72"/>
      <c r="I10" s="83"/>
      <c r="J10" s="84"/>
      <c r="L10" s="1"/>
      <c r="M10" s="2"/>
    </row>
    <row r="11" spans="1:13" ht="18.75" customHeight="1">
      <c r="A11" s="12"/>
      <c r="B11" s="73"/>
      <c r="C11" s="73" t="s">
        <v>196</v>
      </c>
      <c r="D11" s="74" t="s">
        <v>197</v>
      </c>
      <c r="E11" s="74"/>
      <c r="F11" s="74"/>
      <c r="G11" s="74"/>
      <c r="H11" s="75"/>
      <c r="I11" s="85"/>
      <c r="J11" s="15"/>
      <c r="L11" s="86" t="s">
        <v>198</v>
      </c>
      <c r="M11" s="87">
        <v>350</v>
      </c>
    </row>
    <row r="12" spans="1:13" ht="18.75" customHeight="1">
      <c r="A12" s="12"/>
      <c r="B12" s="73"/>
      <c r="C12" s="73"/>
      <c r="D12" s="73" t="s">
        <v>199</v>
      </c>
      <c r="E12" s="74" t="s">
        <v>16</v>
      </c>
      <c r="F12" s="74"/>
      <c r="G12" s="74"/>
      <c r="H12" s="75"/>
      <c r="I12" s="85"/>
      <c r="J12" s="15"/>
      <c r="L12" s="88" t="s">
        <v>200</v>
      </c>
      <c r="M12" s="89">
        <v>6</v>
      </c>
    </row>
    <row r="13" spans="1:13" ht="18.75" customHeight="1">
      <c r="A13" s="12"/>
      <c r="B13" s="73"/>
      <c r="C13" s="73"/>
      <c r="D13" s="73"/>
      <c r="E13" s="74" t="s">
        <v>201</v>
      </c>
      <c r="F13" s="74" t="str">
        <f>'INSUMOS - QUANTIDADES'!B11</f>
        <v>Sal mineral</v>
      </c>
      <c r="G13" s="76"/>
      <c r="H13" s="75">
        <f>('INSUMOS - QUANTIDADES'!F11*'INSUMOS - QUANTIDADES'!E11)+'INSUMOS - QUANTIDADES'!F18*'INSUMOS - QUANTIDADES'!E18</f>
        <v>2.07</v>
      </c>
      <c r="I13" s="85" t="s">
        <v>202</v>
      </c>
      <c r="J13" s="15">
        <f>(($H$13)*'INSUMOS - PREÇOS'!F55*$M$13)</f>
        <v>1377.4425839999997</v>
      </c>
      <c r="L13" s="88" t="s">
        <v>203</v>
      </c>
      <c r="M13" s="90">
        <f>M11*M18*M16*M19*(12/M17)</f>
        <v>408.23999999999995</v>
      </c>
    </row>
    <row r="14" spans="1:13" ht="18.75" customHeight="1">
      <c r="A14" s="12"/>
      <c r="B14" s="73"/>
      <c r="C14" s="73"/>
      <c r="D14" s="73"/>
      <c r="E14" s="74" t="s">
        <v>204</v>
      </c>
      <c r="F14" s="74" t="s">
        <v>205</v>
      </c>
      <c r="G14" s="76"/>
      <c r="H14" s="75"/>
      <c r="I14" s="85"/>
      <c r="J14" s="15"/>
      <c r="L14" s="88" t="s">
        <v>206</v>
      </c>
      <c r="M14" s="89">
        <v>0</v>
      </c>
    </row>
    <row r="15" spans="1:13" ht="18.75" customHeight="1">
      <c r="A15" s="12"/>
      <c r="B15" s="73"/>
      <c r="C15" s="73"/>
      <c r="D15" s="73"/>
      <c r="E15" s="74"/>
      <c r="F15" s="74" t="s">
        <v>207</v>
      </c>
      <c r="G15" s="77" t="str">
        <f>'INSUMOS - QUANTIDADES'!B12</f>
        <v>Pastagem</v>
      </c>
      <c r="H15" s="78">
        <f>('INSUMOS - QUANTIDADES'!F12*'INSUMOS - QUANTIDADES'!E12)+('INSUMOS - QUANTIDADES'!F19*'INSUMOS - QUANTIDADES'!E19)</f>
        <v>0</v>
      </c>
      <c r="I15" s="85" t="s">
        <v>202</v>
      </c>
      <c r="J15" s="15">
        <f>((('INSUMOS - PREÇOS'!F71*$H$130)/(($H$15*$M$13)+($H$25*$M$11)+($H$34*$M$12))))*($H$15*$M$13)</f>
        <v>0</v>
      </c>
      <c r="L15" s="88" t="s">
        <v>208</v>
      </c>
      <c r="M15" s="91">
        <v>0.15</v>
      </c>
    </row>
    <row r="16" spans="1:13" ht="18.75" customHeight="1">
      <c r="A16" s="12"/>
      <c r="B16" s="73"/>
      <c r="C16" s="73"/>
      <c r="D16" s="73"/>
      <c r="E16" s="74"/>
      <c r="F16" s="74" t="s">
        <v>209</v>
      </c>
      <c r="G16" s="77" t="str">
        <f>'INSUMOS - QUANTIDADES'!B13</f>
        <v>Outro alimento</v>
      </c>
      <c r="H16" s="78">
        <f>('INSUMOS - QUANTIDADES'!F13*'INSUMOS - QUANTIDADES'!E13)+('INSUMOS - QUANTIDADES'!F20*'INSUMOS - QUANTIDADES'!E20)</f>
        <v>0</v>
      </c>
      <c r="I16" s="85" t="s">
        <v>202</v>
      </c>
      <c r="J16" s="15">
        <f>(($H$16)*('INSUMOS - PREÇOS'!F51/1000))*$M$13</f>
        <v>0</v>
      </c>
      <c r="L16" s="88" t="s">
        <v>210</v>
      </c>
      <c r="M16" s="92">
        <v>1.2</v>
      </c>
    </row>
    <row r="17" spans="1:13" ht="18.75" customHeight="1">
      <c r="A17" s="12"/>
      <c r="B17" s="73"/>
      <c r="C17" s="73"/>
      <c r="D17" s="73"/>
      <c r="E17" s="74"/>
      <c r="F17" s="74" t="s">
        <v>211</v>
      </c>
      <c r="G17" s="77" t="str">
        <f>'INSUMOS - QUANTIDADES'!B14</f>
        <v>Cana de açúcar</v>
      </c>
      <c r="H17" s="78">
        <f>('INSUMOS - QUANTIDADES'!F14*'INSUMOS - QUANTIDADES'!E14)+('INSUMOS - QUANTIDADES'!F21*'INSUMOS - QUANTIDADES'!E21)</f>
        <v>339</v>
      </c>
      <c r="I17" s="85" t="s">
        <v>202</v>
      </c>
      <c r="J17" s="15">
        <f>(($H$17)*('INSUMOS - PREÇOS'!F52/1000))*$M$13</f>
        <v>7437.2591664</v>
      </c>
      <c r="L17" s="88" t="s">
        <v>212</v>
      </c>
      <c r="M17" s="89">
        <v>10</v>
      </c>
    </row>
    <row r="18" spans="1:13" ht="18.75" customHeight="1">
      <c r="A18" s="12"/>
      <c r="B18" s="73"/>
      <c r="C18" s="73"/>
      <c r="D18" s="73"/>
      <c r="E18" s="74"/>
      <c r="F18" s="74" t="s">
        <v>213</v>
      </c>
      <c r="G18" s="77" t="str">
        <f>'INSUMOS - QUANTIDADES'!B15</f>
        <v>Outro alimento</v>
      </c>
      <c r="H18" s="78">
        <f>('INSUMOS - QUANTIDADES'!F15*'INSUMOS - QUANTIDADES'!E15)+('INSUMOS - QUANTIDADES'!F22*'INSUMOS - QUANTIDADES'!E22)</f>
        <v>0</v>
      </c>
      <c r="I18" s="85" t="s">
        <v>202</v>
      </c>
      <c r="J18" s="15">
        <f>$H$18*('INSUMOS - PREÇOS'!F53/1000)*$M$13</f>
        <v>0</v>
      </c>
      <c r="L18" s="88" t="s">
        <v>214</v>
      </c>
      <c r="M18" s="92">
        <v>0.9</v>
      </c>
    </row>
    <row r="19" spans="1:13" ht="18.75" customHeight="1">
      <c r="A19" s="12"/>
      <c r="B19" s="73"/>
      <c r="C19" s="73"/>
      <c r="D19" s="73"/>
      <c r="E19" s="74"/>
      <c r="F19" s="74" t="s">
        <v>215</v>
      </c>
      <c r="G19" s="77" t="str">
        <f>'INSUMOS - QUANTIDADES'!B16</f>
        <v>Outro alimento</v>
      </c>
      <c r="H19" s="78">
        <f>('INSUMOS - QUANTIDADES'!F16*'INSUMOS - QUANTIDADES'!E16)+('INSUMOS - QUANTIDADES'!F23*'INSUMOS - QUANTIDADES'!E23)</f>
        <v>0</v>
      </c>
      <c r="I19" s="85" t="s">
        <v>202</v>
      </c>
      <c r="J19" s="15">
        <f>$H$19*('INSUMOS - PREÇOS'!F54/1000)*$M$13</f>
        <v>0</v>
      </c>
      <c r="L19" s="88" t="s">
        <v>216</v>
      </c>
      <c r="M19" s="92">
        <v>0.9</v>
      </c>
    </row>
    <row r="20" spans="1:13" ht="18.75" customHeight="1">
      <c r="A20" s="12"/>
      <c r="B20" s="73"/>
      <c r="C20" s="73"/>
      <c r="D20" s="73"/>
      <c r="E20" s="74" t="s">
        <v>217</v>
      </c>
      <c r="F20" s="74" t="s">
        <v>28</v>
      </c>
      <c r="G20" s="76"/>
      <c r="H20" s="78">
        <f>'INSUMOS - QUANTIDADES'!F17*'INSUMOS - QUANTIDADES'!E17</f>
        <v>21.599999999999998</v>
      </c>
      <c r="I20" s="85" t="s">
        <v>202</v>
      </c>
      <c r="J20" s="15">
        <f>(($H$20)*('INSUMOS - PREÇOS'!F59))*$M$13</f>
        <v>7189.3023552</v>
      </c>
      <c r="L20" s="88" t="s">
        <v>218</v>
      </c>
      <c r="M20" s="93">
        <v>75</v>
      </c>
    </row>
    <row r="21" spans="1:13" ht="18.75" customHeight="1">
      <c r="A21" s="12"/>
      <c r="B21" s="73"/>
      <c r="C21" s="73"/>
      <c r="D21" s="73"/>
      <c r="E21" s="74" t="s">
        <v>219</v>
      </c>
      <c r="F21" s="74" t="s">
        <v>220</v>
      </c>
      <c r="G21" s="76"/>
      <c r="H21" s="78">
        <f>('INSUMOS - QUANTIDADES'!F24*'INSUMOS - QUANTIDADES'!E24)</f>
        <v>39</v>
      </c>
      <c r="I21" s="85" t="s">
        <v>202</v>
      </c>
      <c r="J21" s="15">
        <f>(($H$21)*('INSUMOS - PREÇOS'!F60))*$M$13</f>
        <v>12980.684808</v>
      </c>
      <c r="L21" s="88" t="s">
        <v>221</v>
      </c>
      <c r="M21" s="89">
        <v>40</v>
      </c>
    </row>
    <row r="22" spans="1:13" ht="18.75" customHeight="1">
      <c r="A22" s="12"/>
      <c r="B22" s="73"/>
      <c r="C22" s="73"/>
      <c r="D22" s="73" t="s">
        <v>222</v>
      </c>
      <c r="E22" s="74" t="s">
        <v>223</v>
      </c>
      <c r="F22" s="74"/>
      <c r="G22" s="74"/>
      <c r="H22" s="75"/>
      <c r="I22" s="85"/>
      <c r="J22" s="15"/>
      <c r="L22" s="88" t="s">
        <v>224</v>
      </c>
      <c r="M22" s="89">
        <v>140</v>
      </c>
    </row>
    <row r="23" spans="1:13" ht="18.75" customHeight="1">
      <c r="A23" s="12"/>
      <c r="B23" s="73"/>
      <c r="C23" s="73"/>
      <c r="D23" s="73"/>
      <c r="E23" s="74" t="s">
        <v>225</v>
      </c>
      <c r="F23" s="74" t="s">
        <v>18</v>
      </c>
      <c r="G23" s="76"/>
      <c r="H23" s="78">
        <f>('INSUMOS - QUANTIDADES'!F26*'INSUMOS - QUANTIDADES'!E26)+('INSUMOS - QUANTIDADES'!F33*'INSUMOS - QUANTIDADES'!E33)+('INSUMOS - QUANTIDADES'!F40*'INSUMOS - QUANTIDADES'!E40)+('INSUMOS - QUANTIDADES'!F47*'INSUMOS - QUANTIDADES'!E47)</f>
        <v>8.76</v>
      </c>
      <c r="I23" s="85" t="s">
        <v>202</v>
      </c>
      <c r="J23" s="15">
        <f>(($H$23)*'INSUMOS - PREÇOS'!F55*$M$11)</f>
        <v>4997.58</v>
      </c>
      <c r="L23" s="94" t="s">
        <v>226</v>
      </c>
      <c r="M23" s="95">
        <v>0.48</v>
      </c>
    </row>
    <row r="24" spans="1:10" ht="18.75" customHeight="1">
      <c r="A24" s="12"/>
      <c r="B24" s="73"/>
      <c r="C24" s="73"/>
      <c r="D24" s="73"/>
      <c r="E24" s="74" t="s">
        <v>227</v>
      </c>
      <c r="F24" s="74" t="s">
        <v>205</v>
      </c>
      <c r="G24" s="76"/>
      <c r="H24" s="75"/>
      <c r="I24" s="85"/>
      <c r="J24" s="15"/>
    </row>
    <row r="25" spans="1:10" ht="18.75" customHeight="1">
      <c r="A25" s="12"/>
      <c r="B25" s="73"/>
      <c r="C25" s="73"/>
      <c r="D25" s="73"/>
      <c r="E25" s="74"/>
      <c r="F25" s="74" t="s">
        <v>228</v>
      </c>
      <c r="G25" s="77" t="str">
        <f>'INSUMOS - QUANTIDADES'!B12</f>
        <v>Pastagem</v>
      </c>
      <c r="H25" s="75">
        <f>('INSUMOS - QUANTIDADES'!F27*'INSUMOS - QUANTIDADES'!E27)+('INSUMOS - QUANTIDADES'!F34*'INSUMOS - QUANTIDADES'!E34)+('INSUMOS - QUANTIDADES'!F41*'INSUMOS - QUANTIDADES'!E41)+('INSUMOS - QUANTIDADES'!F48*'INSUMOS - QUANTIDADES'!E48)</f>
        <v>928.8</v>
      </c>
      <c r="I25" s="85" t="s">
        <v>202</v>
      </c>
      <c r="J25" s="15">
        <f>((('INSUMOS - PREÇOS'!F71*$H$130)/(($H$15*$M$13)+($H$25*$M$11)+($H$34*$M$12))))*($H$25*$M$11)</f>
        <v>25553.056545690215</v>
      </c>
    </row>
    <row r="26" spans="1:10" ht="18.75" customHeight="1">
      <c r="A26" s="12"/>
      <c r="B26" s="73"/>
      <c r="C26" s="73"/>
      <c r="D26" s="73"/>
      <c r="E26" s="74"/>
      <c r="F26" s="74" t="s">
        <v>229</v>
      </c>
      <c r="G26" s="77" t="str">
        <f>'INSUMOS - QUANTIDADES'!B13</f>
        <v>Outro alimento</v>
      </c>
      <c r="H26" s="75">
        <f>('INSUMOS - QUANTIDADES'!F28*'INSUMOS - QUANTIDADES'!E28)+('INSUMOS - QUANTIDADES'!F35*'INSUMOS - QUANTIDADES'!E35)+('INSUMOS - QUANTIDADES'!F42*'INSUMOS - QUANTIDADES'!E42)+('INSUMOS - QUANTIDADES'!F49*'INSUMOS - QUANTIDADES'!E49)</f>
        <v>0</v>
      </c>
      <c r="I26" s="85" t="s">
        <v>202</v>
      </c>
      <c r="J26" s="15">
        <f>$H$26*('INSUMOS - PREÇOS'!F52/1000)*$M$11</f>
        <v>0</v>
      </c>
    </row>
    <row r="27" spans="1:10" ht="18.75" customHeight="1">
      <c r="A27" s="12"/>
      <c r="B27" s="73"/>
      <c r="C27" s="73"/>
      <c r="D27" s="73"/>
      <c r="E27" s="74"/>
      <c r="F27" s="74" t="s">
        <v>230</v>
      </c>
      <c r="G27" s="77" t="str">
        <f>'INSUMOS - QUANTIDADES'!B14</f>
        <v>Cana de açúcar</v>
      </c>
      <c r="H27" s="75">
        <f>('INSUMOS - QUANTIDADES'!F29*'INSUMOS - QUANTIDADES'!E29)+('INSUMOS - QUANTIDADES'!F36*'INSUMOS - QUANTIDADES'!E36)+('INSUMOS - QUANTIDADES'!F43*'INSUMOS - QUANTIDADES'!E43)+('INSUMOS - QUANTIDADES'!F50*'INSUMOS - QUANTIDADES'!E50)</f>
        <v>276.6</v>
      </c>
      <c r="I27" s="85" t="s">
        <v>202</v>
      </c>
      <c r="J27" s="15">
        <f>$H$27*('INSUMOS - PREÇOS'!F52/1000)*$M$11</f>
        <v>5202.569400000001</v>
      </c>
    </row>
    <row r="28" spans="1:10" ht="18.75" customHeight="1">
      <c r="A28" s="12"/>
      <c r="B28" s="73"/>
      <c r="C28" s="73"/>
      <c r="D28" s="73"/>
      <c r="E28" s="74"/>
      <c r="F28" s="63" t="s">
        <v>231</v>
      </c>
      <c r="G28" s="77" t="str">
        <f>'INSUMOS - QUANTIDADES'!B15</f>
        <v>Outro alimento</v>
      </c>
      <c r="H28" s="75">
        <f>('INSUMOS - QUANTIDADES'!F30*'INSUMOS - QUANTIDADES'!E30)+('INSUMOS - QUANTIDADES'!F37*'INSUMOS - QUANTIDADES'!E37)+('INSUMOS - QUANTIDADES'!F44*'INSUMOS - QUANTIDADES'!E44)+('INSUMOS - QUANTIDADES'!F51*'INSUMOS - QUANTIDADES'!E51)</f>
        <v>0</v>
      </c>
      <c r="I28" s="85" t="s">
        <v>202</v>
      </c>
      <c r="J28" s="15">
        <f>$H$28*('INSUMOS - PREÇOS'!F53/1000)*$M$11</f>
        <v>0</v>
      </c>
    </row>
    <row r="29" spans="1:10" ht="18.75" customHeight="1">
      <c r="A29" s="12"/>
      <c r="B29" s="73"/>
      <c r="C29" s="73"/>
      <c r="D29" s="73"/>
      <c r="E29" s="74"/>
      <c r="F29" s="63" t="s">
        <v>232</v>
      </c>
      <c r="G29" s="77" t="str">
        <f>'INSUMOS - QUANTIDADES'!B16</f>
        <v>Outro alimento</v>
      </c>
      <c r="H29" s="75">
        <f>('INSUMOS - QUANTIDADES'!F31*'INSUMOS - QUANTIDADES'!E31)+('INSUMOS - QUANTIDADES'!F38*'INSUMOS - QUANTIDADES'!E38)+('INSUMOS - QUANTIDADES'!F45*'INSUMOS - QUANTIDADES'!E45)+('INSUMOS - QUANTIDADES'!F52*'INSUMOS - QUANTIDADES'!E52)</f>
        <v>0</v>
      </c>
      <c r="I29" s="85" t="s">
        <v>202</v>
      </c>
      <c r="J29" s="15">
        <f>$H$29*('INSUMOS - PREÇOS'!F54/1000)*$M$11</f>
        <v>0</v>
      </c>
    </row>
    <row r="30" spans="1:10" ht="18.75" customHeight="1">
      <c r="A30" s="12"/>
      <c r="B30" s="73"/>
      <c r="C30" s="73"/>
      <c r="D30" s="73"/>
      <c r="E30" s="74" t="s">
        <v>233</v>
      </c>
      <c r="F30" s="74" t="s">
        <v>33</v>
      </c>
      <c r="G30" s="76"/>
      <c r="H30" s="75">
        <f>('INSUMOS - QUANTIDADES'!F32*'INSUMOS - QUANTIDADES'!E32)+('INSUMOS - QUANTIDADES'!F39*'INSUMOS - QUANTIDADES'!E39)+('INSUMOS - QUANTIDADES'!F46*'INSUMOS - QUANTIDADES'!E46)+('INSUMOS - QUANTIDADES'!F53*'INSUMOS - QUANTIDADES'!E53)</f>
        <v>32.4</v>
      </c>
      <c r="I30" s="85" t="s">
        <v>202</v>
      </c>
      <c r="J30" s="15">
        <f>($H$30*'INSUMOS - PREÇOS'!F61)*'CUSTOS ANUAIS'!$M$11</f>
        <v>9245.502000000002</v>
      </c>
    </row>
    <row r="31" spans="1:10" ht="18.75" customHeight="1">
      <c r="A31" s="12"/>
      <c r="B31" s="73"/>
      <c r="C31" s="73"/>
      <c r="D31" s="73" t="s">
        <v>234</v>
      </c>
      <c r="E31" s="74" t="s">
        <v>37</v>
      </c>
      <c r="F31" s="74"/>
      <c r="G31" s="74"/>
      <c r="H31" s="75"/>
      <c r="I31" s="85"/>
      <c r="J31" s="15"/>
    </row>
    <row r="32" spans="1:10" ht="18.75" customHeight="1">
      <c r="A32" s="12"/>
      <c r="B32" s="73"/>
      <c r="C32" s="73"/>
      <c r="D32" s="73"/>
      <c r="E32" s="74" t="s">
        <v>235</v>
      </c>
      <c r="F32" s="74" t="s">
        <v>18</v>
      </c>
      <c r="G32" s="76"/>
      <c r="H32" s="78">
        <f>('INSUMOS - QUANTIDADES'!F55*'INSUMOS - QUANTIDADES'!E55)+('INSUMOS - QUANTIDADES'!F62*'INSUMOS - QUANTIDADES'!E62)</f>
        <v>9.120000000000001</v>
      </c>
      <c r="I32" s="85" t="s">
        <v>202</v>
      </c>
      <c r="J32" s="15">
        <f>($H$32*'INSUMOS - PREÇOS'!F55*$M$12)</f>
        <v>89.1936</v>
      </c>
    </row>
    <row r="33" spans="1:10" ht="18.75" customHeight="1">
      <c r="A33" s="12"/>
      <c r="B33" s="73"/>
      <c r="C33" s="73"/>
      <c r="D33" s="73"/>
      <c r="E33" s="74" t="s">
        <v>236</v>
      </c>
      <c r="F33" s="74" t="s">
        <v>161</v>
      </c>
      <c r="G33" s="76"/>
      <c r="H33" s="75"/>
      <c r="I33" s="85"/>
      <c r="J33" s="15"/>
    </row>
    <row r="34" spans="1:10" ht="18.75" customHeight="1">
      <c r="A34" s="12"/>
      <c r="B34" s="73"/>
      <c r="C34" s="73"/>
      <c r="D34" s="73"/>
      <c r="E34" s="74"/>
      <c r="F34" s="74" t="s">
        <v>237</v>
      </c>
      <c r="G34" s="77" t="str">
        <f>'INSUMOS - QUANTIDADES'!B12</f>
        <v>Pastagem</v>
      </c>
      <c r="H34" s="75">
        <f>('INSUMOS - QUANTIDADES'!F56*'INSUMOS - QUANTIDADES'!E56)+('INSUMOS - QUANTIDADES'!F63*'INSUMOS - QUANTIDADES'!E63)</f>
        <v>1368</v>
      </c>
      <c r="I34" s="85" t="s">
        <v>202</v>
      </c>
      <c r="J34" s="15">
        <f>((('INSUMOS - PREÇOS'!F71*$H$130)/(($H$15*$M$13)+($H$25*$M$11)+($H$34*$M$12))))*($H$34*$M$12)</f>
        <v>645.1934543097861</v>
      </c>
    </row>
    <row r="35" spans="1:10" ht="18.75" customHeight="1">
      <c r="A35" s="12"/>
      <c r="B35" s="73"/>
      <c r="C35" s="73"/>
      <c r="D35" s="73"/>
      <c r="E35" s="74"/>
      <c r="F35" s="74" t="s">
        <v>238</v>
      </c>
      <c r="G35" s="77" t="str">
        <f>'INSUMOS - QUANTIDADES'!B13</f>
        <v>Outro alimento</v>
      </c>
      <c r="H35" s="75">
        <f>('INSUMOS - QUANTIDADES'!F57*'INSUMOS - QUANTIDADES'!E57)+('INSUMOS - QUANTIDADES'!F64*'INSUMOS - QUANTIDADES'!E64)</f>
        <v>0</v>
      </c>
      <c r="I35" s="85" t="s">
        <v>202</v>
      </c>
      <c r="J35" s="15">
        <f>$H$35*('INSUMOS - PREÇOS'!F51/1000)*$M$12</f>
        <v>0</v>
      </c>
    </row>
    <row r="36" spans="1:10" ht="18.75" customHeight="1">
      <c r="A36" s="12"/>
      <c r="B36" s="73"/>
      <c r="C36" s="73"/>
      <c r="D36" s="73"/>
      <c r="E36" s="74"/>
      <c r="F36" s="74" t="s">
        <v>239</v>
      </c>
      <c r="G36" s="77" t="str">
        <f>'INSUMOS - QUANTIDADES'!B14</f>
        <v>Cana de açúcar</v>
      </c>
      <c r="H36" s="75">
        <f>('INSUMOS - QUANTIDADES'!F58*'INSUMOS - QUANTIDADES'!E58)+('INSUMOS - QUANTIDADES'!F65*'INSUMOS - QUANTIDADES'!E65)</f>
        <v>450</v>
      </c>
      <c r="I36" s="85" t="s">
        <v>202</v>
      </c>
      <c r="J36" s="15">
        <f>$H$36*('INSUMOS - PREÇOS'!F52/1000)*$M$12</f>
        <v>145.098</v>
      </c>
    </row>
    <row r="37" spans="1:10" ht="18.75" customHeight="1">
      <c r="A37" s="12"/>
      <c r="B37" s="73"/>
      <c r="C37" s="73"/>
      <c r="D37" s="73"/>
      <c r="E37" s="74"/>
      <c r="F37" s="74" t="s">
        <v>240</v>
      </c>
      <c r="G37" s="77" t="str">
        <f>'INSUMOS - QUANTIDADES'!B15</f>
        <v>Outro alimento</v>
      </c>
      <c r="H37" s="75">
        <f>('INSUMOS - QUANTIDADES'!F59*'INSUMOS - QUANTIDADES'!E59)+('INSUMOS - QUANTIDADES'!F66*'INSUMOS - QUANTIDADES'!E66)</f>
        <v>0</v>
      </c>
      <c r="I37" s="85" t="s">
        <v>202</v>
      </c>
      <c r="J37" s="15">
        <f>(($H$37)*('INSUMOS - PREÇOS'!F53/1000))*$M$12</f>
        <v>0</v>
      </c>
    </row>
    <row r="38" spans="1:10" ht="18.75" customHeight="1">
      <c r="A38" s="12"/>
      <c r="B38" s="73"/>
      <c r="C38" s="73"/>
      <c r="D38" s="73"/>
      <c r="E38" s="74"/>
      <c r="F38" s="74" t="s">
        <v>241</v>
      </c>
      <c r="G38" s="77" t="str">
        <f>'INSUMOS - QUANTIDADES'!B16</f>
        <v>Outro alimento</v>
      </c>
      <c r="H38" s="75">
        <f>('INSUMOS - QUANTIDADES'!F60*'INSUMOS - QUANTIDADES'!E60)+('INSUMOS - QUANTIDADES'!F67*'INSUMOS - QUANTIDADES'!E67)</f>
        <v>0</v>
      </c>
      <c r="I38" s="85" t="s">
        <v>202</v>
      </c>
      <c r="J38" s="15">
        <f>$H$38*('INSUMOS - PREÇOS'!F54/1000)*$M$12</f>
        <v>0</v>
      </c>
    </row>
    <row r="39" spans="1:10" ht="18.75" customHeight="1">
      <c r="A39" s="12"/>
      <c r="B39" s="73"/>
      <c r="C39" s="73"/>
      <c r="D39" s="73"/>
      <c r="E39" s="74" t="s">
        <v>242</v>
      </c>
      <c r="F39" s="74" t="s">
        <v>33</v>
      </c>
      <c r="G39" s="76"/>
      <c r="H39" s="75">
        <f>('INSUMOS - QUANTIDADES'!F61*'INSUMOS - QUANTIDADES'!E61)+('INSUMOS - QUANTIDADES'!F68*'INSUMOS - QUANTIDADES'!E68)</f>
        <v>0</v>
      </c>
      <c r="I39" s="85" t="s">
        <v>202</v>
      </c>
      <c r="J39" s="15">
        <f>($H$39*'INSUMOS - PREÇOS'!F61)*$M$12</f>
        <v>0</v>
      </c>
    </row>
    <row r="40" spans="1:10" ht="18.75" customHeight="1">
      <c r="A40" s="12"/>
      <c r="B40" s="73"/>
      <c r="C40" s="73"/>
      <c r="D40" s="73"/>
      <c r="E40" s="79" t="s">
        <v>243</v>
      </c>
      <c r="F40" s="79"/>
      <c r="G40" s="80"/>
      <c r="H40" s="75"/>
      <c r="I40" s="85"/>
      <c r="J40" s="84">
        <f>SUM(J13:J39)</f>
        <v>74862.88191360001</v>
      </c>
    </row>
    <row r="41" spans="1:10" ht="18.75" customHeight="1">
      <c r="A41" s="12"/>
      <c r="B41" s="73"/>
      <c r="C41" s="73"/>
      <c r="D41" s="73"/>
      <c r="E41" s="74"/>
      <c r="F41" s="74"/>
      <c r="G41" s="74"/>
      <c r="H41" s="75"/>
      <c r="I41" s="85"/>
      <c r="J41" s="15"/>
    </row>
    <row r="42" spans="1:10" ht="18.75" customHeight="1">
      <c r="A42" s="12"/>
      <c r="B42" s="73"/>
      <c r="C42" s="73" t="s">
        <v>244</v>
      </c>
      <c r="D42" s="74" t="s">
        <v>245</v>
      </c>
      <c r="E42" s="74"/>
      <c r="F42" s="74"/>
      <c r="G42" s="74"/>
      <c r="H42" s="75"/>
      <c r="I42" s="85"/>
      <c r="J42" s="15"/>
    </row>
    <row r="43" spans="1:13" ht="18.75" customHeight="1">
      <c r="A43" s="12"/>
      <c r="B43" s="73"/>
      <c r="C43" s="73"/>
      <c r="D43" s="73" t="s">
        <v>246</v>
      </c>
      <c r="E43" s="74" t="s">
        <v>16</v>
      </c>
      <c r="F43" s="74"/>
      <c r="G43" s="74"/>
      <c r="H43" s="75"/>
      <c r="I43" s="85"/>
      <c r="J43" s="15"/>
      <c r="L43" s="96"/>
      <c r="M43" s="97"/>
    </row>
    <row r="44" spans="1:13" ht="18.75" customHeight="1">
      <c r="A44" s="12"/>
      <c r="B44" s="73"/>
      <c r="C44" s="73"/>
      <c r="D44" s="73"/>
      <c r="E44" s="74" t="s">
        <v>247</v>
      </c>
      <c r="F44" s="74" t="s">
        <v>248</v>
      </c>
      <c r="G44" s="76"/>
      <c r="H44" s="78">
        <f>('INSUMOS - QUANTIDADES'!F86)</f>
        <v>2.4</v>
      </c>
      <c r="I44" s="85" t="s">
        <v>56</v>
      </c>
      <c r="J44" s="15">
        <f>($H$44*'INSUMOS - PREÇOS'!F65)*$M$13</f>
        <v>65.50782335999999</v>
      </c>
      <c r="L44" s="96"/>
      <c r="M44" s="97"/>
    </row>
    <row r="45" spans="1:10" ht="18.75" customHeight="1">
      <c r="A45" s="12"/>
      <c r="B45" s="73"/>
      <c r="C45" s="73"/>
      <c r="D45" s="73"/>
      <c r="E45" s="74" t="s">
        <v>249</v>
      </c>
      <c r="F45" s="74" t="s">
        <v>250</v>
      </c>
      <c r="G45" s="76"/>
      <c r="H45" s="78">
        <f>'INSUMOS - QUANTIDADES'!F78</f>
        <v>2.4</v>
      </c>
      <c r="I45" s="85" t="s">
        <v>251</v>
      </c>
      <c r="J45" s="15">
        <f>$H$45*'INSUMOS - PREÇOS'!F63*$M$13</f>
        <v>925.8883199999998</v>
      </c>
    </row>
    <row r="46" spans="1:10" ht="18.75" customHeight="1">
      <c r="A46" s="12"/>
      <c r="B46" s="73"/>
      <c r="C46" s="73"/>
      <c r="D46" s="73"/>
      <c r="E46" s="74" t="s">
        <v>252</v>
      </c>
      <c r="F46" s="74" t="s">
        <v>54</v>
      </c>
      <c r="G46" s="76"/>
      <c r="H46" s="78">
        <f>'INSUMOS - QUANTIDADES'!F82</f>
        <v>0</v>
      </c>
      <c r="I46" s="85" t="s">
        <v>251</v>
      </c>
      <c r="J46" s="15">
        <f>$H$46*'INSUMOS - PREÇOS'!F64*$M$13</f>
        <v>0</v>
      </c>
    </row>
    <row r="47" spans="1:10" ht="18.75" customHeight="1">
      <c r="A47" s="12"/>
      <c r="B47" s="73"/>
      <c r="C47" s="73"/>
      <c r="D47" s="73"/>
      <c r="E47" s="63" t="s">
        <v>253</v>
      </c>
      <c r="F47" s="77" t="s">
        <v>172</v>
      </c>
      <c r="G47" s="81"/>
      <c r="H47" s="78">
        <f>'INSUMOS - QUANTIDADES'!F90</f>
        <v>0</v>
      </c>
      <c r="I47" s="85" t="s">
        <v>56</v>
      </c>
      <c r="J47" s="15">
        <f>($H$47*'INSUMOS - PREÇOS'!F66)*$M$13</f>
        <v>0</v>
      </c>
    </row>
    <row r="48" spans="1:10" ht="18.75" customHeight="1">
      <c r="A48" s="12"/>
      <c r="B48" s="73"/>
      <c r="C48" s="73"/>
      <c r="D48" s="73" t="s">
        <v>254</v>
      </c>
      <c r="E48" s="74" t="s">
        <v>223</v>
      </c>
      <c r="F48" s="74"/>
      <c r="G48" s="74"/>
      <c r="H48" s="75"/>
      <c r="I48" s="85"/>
      <c r="J48" s="15"/>
    </row>
    <row r="49" spans="1:10" ht="18.75" customHeight="1">
      <c r="A49" s="12"/>
      <c r="B49" s="73"/>
      <c r="C49" s="73"/>
      <c r="D49" s="73"/>
      <c r="E49" s="74" t="s">
        <v>255</v>
      </c>
      <c r="F49" s="74" t="s">
        <v>248</v>
      </c>
      <c r="G49" s="76"/>
      <c r="H49" s="78">
        <f>'INSUMOS - QUANTIDADES'!F87</f>
        <v>7.199999999999999</v>
      </c>
      <c r="I49" s="85" t="s">
        <v>56</v>
      </c>
      <c r="J49" s="15">
        <f>($H$49*'INSUMOS - PREÇOS'!F65)*$M$11</f>
        <v>168.4872</v>
      </c>
    </row>
    <row r="50" spans="1:13" ht="18.75" customHeight="1">
      <c r="A50" s="12"/>
      <c r="B50" s="73"/>
      <c r="C50" s="73"/>
      <c r="D50" s="73"/>
      <c r="E50" s="74" t="s">
        <v>256</v>
      </c>
      <c r="F50" s="74" t="s">
        <v>250</v>
      </c>
      <c r="G50" s="76"/>
      <c r="H50" s="78">
        <f>'INSUMOS - QUANTIDADES'!F79</f>
        <v>1.2</v>
      </c>
      <c r="I50" s="85" t="s">
        <v>251</v>
      </c>
      <c r="J50" s="15">
        <f>($H$50*'INSUMOS - PREÇOS'!F63)*$M$11</f>
        <v>396.9</v>
      </c>
      <c r="L50" s="62"/>
      <c r="M50" s="62"/>
    </row>
    <row r="51" spans="1:10" ht="18.75" customHeight="1">
      <c r="A51" s="12"/>
      <c r="B51" s="73"/>
      <c r="C51" s="73"/>
      <c r="D51" s="73"/>
      <c r="E51" s="74" t="s">
        <v>257</v>
      </c>
      <c r="F51" s="74" t="s">
        <v>54</v>
      </c>
      <c r="G51" s="76"/>
      <c r="H51" s="78">
        <f>'INSUMOS - QUANTIDADES'!F83</f>
        <v>0</v>
      </c>
      <c r="I51" s="85" t="s">
        <v>251</v>
      </c>
      <c r="J51" s="15">
        <f>($H$51*'INSUMOS - PREÇOS'!F64)*$M$11</f>
        <v>0</v>
      </c>
    </row>
    <row r="52" spans="1:10" ht="18.75" customHeight="1">
      <c r="A52" s="12"/>
      <c r="B52" s="73"/>
      <c r="C52" s="73"/>
      <c r="D52" s="73"/>
      <c r="E52" s="74" t="s">
        <v>258</v>
      </c>
      <c r="F52" s="77" t="s">
        <v>172</v>
      </c>
      <c r="G52" s="81"/>
      <c r="H52" s="78">
        <f>'INSUMOS - QUANTIDADES'!F91</f>
        <v>0</v>
      </c>
      <c r="I52" s="85" t="s">
        <v>56</v>
      </c>
      <c r="J52" s="15">
        <f>($H$52*'INSUMOS - PREÇOS'!F66)*$M$11</f>
        <v>0</v>
      </c>
    </row>
    <row r="53" spans="1:10" ht="18.75" customHeight="1">
      <c r="A53" s="12"/>
      <c r="B53" s="73"/>
      <c r="C53" s="73"/>
      <c r="D53" s="73"/>
      <c r="E53" s="63" t="s">
        <v>259</v>
      </c>
      <c r="F53" s="74" t="s">
        <v>63</v>
      </c>
      <c r="G53" s="76"/>
      <c r="H53" s="75">
        <f>'INSUMOS - QUANTIDADES'!F99</f>
        <v>0</v>
      </c>
      <c r="I53" s="85" t="s">
        <v>260</v>
      </c>
      <c r="J53" s="15">
        <f>($H$53*'INSUMOS - PREÇOS'!F69)*$M$11</f>
        <v>0</v>
      </c>
    </row>
    <row r="54" spans="1:10" ht="18.75" customHeight="1">
      <c r="A54" s="12"/>
      <c r="B54" s="73"/>
      <c r="C54" s="73"/>
      <c r="D54" s="73" t="s">
        <v>261</v>
      </c>
      <c r="E54" s="74" t="s">
        <v>37</v>
      </c>
      <c r="F54" s="74"/>
      <c r="G54" s="74"/>
      <c r="H54" s="75"/>
      <c r="I54" s="85"/>
      <c r="J54" s="15"/>
    </row>
    <row r="55" spans="1:10" ht="18.75" customHeight="1">
      <c r="A55" s="12"/>
      <c r="B55" s="73"/>
      <c r="C55" s="73"/>
      <c r="D55" s="73"/>
      <c r="E55" s="74" t="s">
        <v>262</v>
      </c>
      <c r="F55" s="74" t="s">
        <v>248</v>
      </c>
      <c r="G55" s="76"/>
      <c r="H55" s="78">
        <f>'INSUMOS - QUANTIDADES'!F88</f>
        <v>14.399999999999999</v>
      </c>
      <c r="I55" s="85" t="s">
        <v>56</v>
      </c>
      <c r="J55" s="15">
        <f>$H$55*'INSUMOS - PREÇOS'!F65*$M$12</f>
        <v>5.776704</v>
      </c>
    </row>
    <row r="56" spans="1:13" ht="18.75" customHeight="1">
      <c r="A56" s="12"/>
      <c r="B56" s="73"/>
      <c r="C56" s="73"/>
      <c r="D56" s="73"/>
      <c r="E56" s="74" t="s">
        <v>263</v>
      </c>
      <c r="F56" s="74" t="s">
        <v>250</v>
      </c>
      <c r="G56" s="76"/>
      <c r="H56" s="78">
        <f>'INSUMOS - QUANTIDADES'!F80</f>
        <v>1.2</v>
      </c>
      <c r="I56" s="85" t="s">
        <v>251</v>
      </c>
      <c r="J56" s="15">
        <f>$H$56*'INSUMOS - PREÇOS'!F63*$M$12</f>
        <v>6.803999999999999</v>
      </c>
      <c r="L56" s="62"/>
      <c r="M56" s="62"/>
    </row>
    <row r="57" spans="1:10" ht="18.75" customHeight="1">
      <c r="A57" s="12"/>
      <c r="B57" s="73"/>
      <c r="C57" s="73"/>
      <c r="D57" s="73"/>
      <c r="E57" s="74" t="s">
        <v>264</v>
      </c>
      <c r="F57" s="74" t="s">
        <v>54</v>
      </c>
      <c r="G57" s="76"/>
      <c r="H57" s="78">
        <f>'INSUMOS - QUANTIDADES'!F84</f>
        <v>0</v>
      </c>
      <c r="I57" s="85" t="s">
        <v>251</v>
      </c>
      <c r="J57" s="15">
        <f>$H$57*'INSUMOS - PREÇOS'!F64*$M$12</f>
        <v>0</v>
      </c>
    </row>
    <row r="58" spans="1:10" ht="18.75" customHeight="1">
      <c r="A58" s="12"/>
      <c r="B58" s="73"/>
      <c r="C58" s="73"/>
      <c r="D58" s="73"/>
      <c r="E58" s="63" t="s">
        <v>265</v>
      </c>
      <c r="F58" s="77" t="s">
        <v>172</v>
      </c>
      <c r="G58" s="81"/>
      <c r="H58" s="78">
        <f>'INSUMOS - QUANTIDADES'!F92</f>
        <v>0</v>
      </c>
      <c r="I58" s="85" t="s">
        <v>56</v>
      </c>
      <c r="J58" s="15">
        <f>($H$58*'INSUMOS - PREÇOS'!F66)*$M$12</f>
        <v>0</v>
      </c>
    </row>
    <row r="59" spans="1:10" ht="18.75" customHeight="1">
      <c r="A59" s="12"/>
      <c r="B59" s="73"/>
      <c r="C59" s="73"/>
      <c r="D59" s="73"/>
      <c r="E59" s="63" t="s">
        <v>266</v>
      </c>
      <c r="F59" s="74" t="s">
        <v>62</v>
      </c>
      <c r="G59" s="76"/>
      <c r="H59" s="75">
        <f>'INSUMOS - QUANTIDADES'!F98</f>
        <v>0</v>
      </c>
      <c r="I59" s="85" t="s">
        <v>260</v>
      </c>
      <c r="J59" s="15">
        <f>$H$59*'INSUMOS - PREÇOS'!F68*$M$12</f>
        <v>0</v>
      </c>
    </row>
    <row r="60" spans="1:10" ht="18.75" customHeight="1">
      <c r="A60" s="12"/>
      <c r="B60" s="73"/>
      <c r="C60" s="73"/>
      <c r="D60" s="73"/>
      <c r="E60" s="79" t="s">
        <v>267</v>
      </c>
      <c r="F60" s="79"/>
      <c r="G60" s="80"/>
      <c r="H60" s="75"/>
      <c r="I60" s="85"/>
      <c r="J60" s="84">
        <f>SUM(J44:J59)</f>
        <v>1569.36404736</v>
      </c>
    </row>
    <row r="61" spans="1:10" ht="18.75" customHeight="1">
      <c r="A61" s="12"/>
      <c r="B61" s="73"/>
      <c r="C61" s="73"/>
      <c r="D61" s="73"/>
      <c r="E61" s="63"/>
      <c r="F61" s="74"/>
      <c r="G61" s="76"/>
      <c r="H61" s="75"/>
      <c r="I61" s="85"/>
      <c r="J61" s="15"/>
    </row>
    <row r="62" spans="1:10" ht="18.75" customHeight="1">
      <c r="A62" s="12"/>
      <c r="B62" s="73"/>
      <c r="C62" s="79" t="s">
        <v>268</v>
      </c>
      <c r="D62" s="79"/>
      <c r="E62" s="79"/>
      <c r="F62" s="79"/>
      <c r="G62" s="80"/>
      <c r="H62" s="75"/>
      <c r="I62" s="85"/>
      <c r="J62" s="84">
        <f>SUM(J60+J40)</f>
        <v>76432.24596096</v>
      </c>
    </row>
    <row r="63" spans="1:10" ht="18.75" customHeight="1">
      <c r="A63" s="12"/>
      <c r="B63" s="69"/>
      <c r="C63" s="69"/>
      <c r="D63" s="79"/>
      <c r="E63" s="79"/>
      <c r="F63" s="79"/>
      <c r="G63" s="79"/>
      <c r="H63" s="75"/>
      <c r="I63" s="85"/>
      <c r="J63" s="84"/>
    </row>
    <row r="64" spans="1:10" ht="18.75" customHeight="1">
      <c r="A64" s="68"/>
      <c r="B64" s="69" t="s">
        <v>269</v>
      </c>
      <c r="C64" s="79" t="s">
        <v>270</v>
      </c>
      <c r="D64" s="79"/>
      <c r="E64" s="79"/>
      <c r="F64" s="79"/>
      <c r="G64" s="80"/>
      <c r="H64" s="72"/>
      <c r="I64" s="83"/>
      <c r="J64" s="84"/>
    </row>
    <row r="65" spans="1:10" s="63" customFormat="1" ht="18.75" customHeight="1">
      <c r="A65" s="12"/>
      <c r="B65" s="73"/>
      <c r="C65" s="73" t="s">
        <v>196</v>
      </c>
      <c r="D65" s="74" t="s">
        <v>271</v>
      </c>
      <c r="E65" s="74"/>
      <c r="F65" s="74"/>
      <c r="G65" s="74"/>
      <c r="H65" s="75"/>
      <c r="I65" s="107" t="s">
        <v>180</v>
      </c>
      <c r="J65" s="15">
        <f>'INSUMOS - PREÇOS'!F73</f>
        <v>500</v>
      </c>
    </row>
    <row r="66" spans="1:10" s="63" customFormat="1" ht="18.75" customHeight="1">
      <c r="A66" s="12"/>
      <c r="B66" s="73"/>
      <c r="C66" s="73" t="s">
        <v>244</v>
      </c>
      <c r="D66" s="74" t="s">
        <v>272</v>
      </c>
      <c r="E66" s="74"/>
      <c r="F66" s="74"/>
      <c r="G66" s="76"/>
      <c r="H66" s="75"/>
      <c r="I66" s="107" t="s">
        <v>180</v>
      </c>
      <c r="J66" s="15">
        <f>'INSUMOS - PREÇOS'!F74</f>
        <v>100</v>
      </c>
    </row>
    <row r="67" spans="1:13" ht="18.75" customHeight="1">
      <c r="A67" s="12"/>
      <c r="B67" s="73"/>
      <c r="C67" s="79" t="s">
        <v>273</v>
      </c>
      <c r="D67" s="79"/>
      <c r="E67" s="79"/>
      <c r="F67" s="79"/>
      <c r="G67" s="80"/>
      <c r="H67" s="75"/>
      <c r="I67" s="85"/>
      <c r="J67" s="84">
        <f>SUM(J65:J66)</f>
        <v>600</v>
      </c>
      <c r="L67" s="63"/>
      <c r="M67" s="63"/>
    </row>
    <row r="68" spans="1:13" ht="18.75" customHeight="1">
      <c r="A68" s="12"/>
      <c r="B68" s="69"/>
      <c r="C68" s="69"/>
      <c r="D68" s="79"/>
      <c r="E68" s="79"/>
      <c r="F68" s="79"/>
      <c r="G68" s="79"/>
      <c r="H68" s="75"/>
      <c r="I68" s="85"/>
      <c r="J68" s="84"/>
      <c r="L68" s="63"/>
      <c r="M68" s="63"/>
    </row>
    <row r="69" spans="1:10" ht="18.75" customHeight="1">
      <c r="A69" s="24"/>
      <c r="B69" s="98" t="s">
        <v>274</v>
      </c>
      <c r="C69" s="98"/>
      <c r="D69" s="98"/>
      <c r="E69" s="98"/>
      <c r="F69" s="98"/>
      <c r="G69" s="98"/>
      <c r="H69" s="99"/>
      <c r="I69" s="108"/>
      <c r="J69" s="34">
        <f>SUM(J62+J67)</f>
        <v>77032.24596096</v>
      </c>
    </row>
    <row r="70" spans="1:10" ht="18.75" customHeight="1">
      <c r="A70" s="6" t="s">
        <v>275</v>
      </c>
      <c r="B70" s="66" t="s">
        <v>276</v>
      </c>
      <c r="C70" s="66"/>
      <c r="D70" s="66"/>
      <c r="E70" s="66"/>
      <c r="F70" s="66"/>
      <c r="G70" s="66"/>
      <c r="H70" s="67" t="s">
        <v>191</v>
      </c>
      <c r="I70" s="4" t="s">
        <v>126</v>
      </c>
      <c r="J70" s="82"/>
    </row>
    <row r="71" spans="1:10" ht="18.75" customHeight="1">
      <c r="A71" s="12"/>
      <c r="B71" s="69" t="s">
        <v>277</v>
      </c>
      <c r="C71" s="70" t="s">
        <v>64</v>
      </c>
      <c r="D71" s="70"/>
      <c r="E71" s="70"/>
      <c r="F71" s="70"/>
      <c r="G71" s="71"/>
      <c r="H71" s="75"/>
      <c r="I71" s="85"/>
      <c r="J71" s="15"/>
    </row>
    <row r="72" spans="1:10" ht="18.75" customHeight="1">
      <c r="A72" s="12"/>
      <c r="B72" s="73"/>
      <c r="C72" s="73" t="s">
        <v>196</v>
      </c>
      <c r="D72" s="74" t="s">
        <v>147</v>
      </c>
      <c r="E72" s="74"/>
      <c r="F72" s="74"/>
      <c r="G72" s="76"/>
      <c r="H72" s="63"/>
      <c r="I72" s="63"/>
      <c r="J72" s="109"/>
    </row>
    <row r="73" spans="1:10" ht="18.75" customHeight="1">
      <c r="A73" s="12"/>
      <c r="B73" s="73"/>
      <c r="C73" s="73"/>
      <c r="D73" s="74" t="s">
        <v>199</v>
      </c>
      <c r="E73" s="74" t="str">
        <f>'INSUMOS - QUANTIDADES'!A106</f>
        <v>   Funcionário 1</v>
      </c>
      <c r="F73" s="74"/>
      <c r="G73" s="76"/>
      <c r="H73" s="75">
        <f>('INSUMOS - QUANTIDADES'!B106*'INSUMOS - QUANTIDADES'!D106)</f>
        <v>1056</v>
      </c>
      <c r="I73" s="85" t="s">
        <v>278</v>
      </c>
      <c r="J73" s="15">
        <f>(('INSUMOS - PREÇOS'!F32)/220)*$H$73</f>
        <v>5040</v>
      </c>
    </row>
    <row r="74" spans="1:10" ht="18.75" customHeight="1">
      <c r="A74" s="12"/>
      <c r="B74" s="73"/>
      <c r="C74" s="73"/>
      <c r="D74" s="74" t="s">
        <v>222</v>
      </c>
      <c r="E74" s="74" t="str">
        <f>'INSUMOS - QUANTIDADES'!A107</f>
        <v>   Funcionário 2</v>
      </c>
      <c r="F74" s="74"/>
      <c r="G74" s="76"/>
      <c r="H74" s="75">
        <f>('INSUMOS - QUANTIDADES'!B107*'INSUMOS - QUANTIDADES'!D107)</f>
        <v>0</v>
      </c>
      <c r="I74" s="85" t="s">
        <v>278</v>
      </c>
      <c r="J74" s="15">
        <f>(('INSUMOS - PREÇOS'!F33)/220)*$H$74</f>
        <v>0</v>
      </c>
    </row>
    <row r="75" spans="1:10" ht="18.75" customHeight="1">
      <c r="A75" s="12"/>
      <c r="B75" s="73"/>
      <c r="C75" s="73"/>
      <c r="D75" s="74" t="s">
        <v>234</v>
      </c>
      <c r="E75" s="74" t="str">
        <f>'INSUMOS - QUANTIDADES'!A108</f>
        <v>   Funcionário 3</v>
      </c>
      <c r="F75" s="74"/>
      <c r="G75" s="76"/>
      <c r="H75" s="75">
        <f>('INSUMOS - QUANTIDADES'!B108*'INSUMOS - QUANTIDADES'!D108)</f>
        <v>0</v>
      </c>
      <c r="I75" s="85" t="s">
        <v>278</v>
      </c>
      <c r="J75" s="15">
        <f>(('INSUMOS - PREÇOS'!F34)/220)*$H$75</f>
        <v>0</v>
      </c>
    </row>
    <row r="76" spans="1:10" ht="18.75" customHeight="1">
      <c r="A76" s="12"/>
      <c r="B76" s="73"/>
      <c r="C76" s="73"/>
      <c r="D76" s="74" t="s">
        <v>279</v>
      </c>
      <c r="E76" s="74" t="str">
        <f>'INSUMOS - QUANTIDADES'!A109</f>
        <v>   Funcionário 4</v>
      </c>
      <c r="F76" s="74"/>
      <c r="G76" s="76"/>
      <c r="H76" s="75">
        <f>('INSUMOS - QUANTIDADES'!B109*'INSUMOS - QUANTIDADES'!D109)</f>
        <v>0</v>
      </c>
      <c r="I76" s="85" t="s">
        <v>278</v>
      </c>
      <c r="J76" s="15">
        <f>(('INSUMOS - PREÇOS'!F35)/220)*$H$76</f>
        <v>0</v>
      </c>
    </row>
    <row r="77" spans="1:10" ht="18.75" customHeight="1">
      <c r="A77" s="12"/>
      <c r="B77" s="73"/>
      <c r="C77" s="73"/>
      <c r="D77" s="74" t="s">
        <v>280</v>
      </c>
      <c r="E77" s="74" t="str">
        <f>'INSUMOS - QUANTIDADES'!A110</f>
        <v>   Funcionário 5</v>
      </c>
      <c r="F77" s="74"/>
      <c r="G77" s="76"/>
      <c r="H77" s="75">
        <f>('INSUMOS - QUANTIDADES'!B110*'INSUMOS - QUANTIDADES'!D110)</f>
        <v>0</v>
      </c>
      <c r="I77" s="85" t="s">
        <v>278</v>
      </c>
      <c r="J77" s="15">
        <f>(('INSUMOS - PREÇOS'!F36)/220)*$H$77</f>
        <v>0</v>
      </c>
    </row>
    <row r="78" spans="1:13" s="62" customFormat="1" ht="18.75" customHeight="1">
      <c r="A78" s="12"/>
      <c r="B78" s="73"/>
      <c r="C78" s="73" t="s">
        <v>244</v>
      </c>
      <c r="D78" s="74" t="s">
        <v>281</v>
      </c>
      <c r="E78" s="74"/>
      <c r="F78" s="74"/>
      <c r="G78" s="76"/>
      <c r="H78" s="100"/>
      <c r="I78" s="100"/>
      <c r="J78" s="110"/>
      <c r="L78" s="1"/>
      <c r="M78" s="1"/>
    </row>
    <row r="79" spans="1:13" s="62" customFormat="1" ht="18.75" customHeight="1">
      <c r="A79" s="12"/>
      <c r="B79" s="73"/>
      <c r="C79" s="73"/>
      <c r="D79" s="74" t="s">
        <v>246</v>
      </c>
      <c r="E79" s="74" t="str">
        <f>'INSUMOS - QUANTIDADES'!A112</f>
        <v>   Funcionário 6</v>
      </c>
      <c r="F79" s="74"/>
      <c r="G79" s="76"/>
      <c r="H79" s="75">
        <f>('INSUMOS - QUANTIDADES'!B112*'INSUMOS - QUANTIDADES'!D112)</f>
        <v>960</v>
      </c>
      <c r="I79" s="85" t="s">
        <v>278</v>
      </c>
      <c r="J79" s="15">
        <f>(('INSUMOS - PREÇOS'!F38)/8)*$H$79</f>
        <v>6000</v>
      </c>
      <c r="L79" s="1"/>
      <c r="M79" s="1"/>
    </row>
    <row r="80" spans="1:10" s="62" customFormat="1" ht="18.75" customHeight="1">
      <c r="A80" s="12"/>
      <c r="B80" s="73"/>
      <c r="C80" s="73"/>
      <c r="D80" s="74" t="s">
        <v>254</v>
      </c>
      <c r="E80" s="74" t="str">
        <f>'INSUMOS - QUANTIDADES'!A113</f>
        <v>   Funcionário 7</v>
      </c>
      <c r="F80" s="74"/>
      <c r="G80" s="76"/>
      <c r="H80" s="75">
        <f>('INSUMOS - QUANTIDADES'!B113*'INSUMOS - QUANTIDADES'!D113)</f>
        <v>0</v>
      </c>
      <c r="I80" s="85" t="s">
        <v>278</v>
      </c>
      <c r="J80" s="15">
        <f>(('INSUMOS - PREÇOS'!F39)/8)*$H$80</f>
        <v>0</v>
      </c>
    </row>
    <row r="81" spans="1:10" s="62" customFormat="1" ht="18.75" customHeight="1">
      <c r="A81" s="12"/>
      <c r="B81" s="73"/>
      <c r="C81" s="73"/>
      <c r="D81" s="74" t="s">
        <v>261</v>
      </c>
      <c r="E81" s="74" t="str">
        <f>'INSUMOS - QUANTIDADES'!A114</f>
        <v>   Funcionário 8</v>
      </c>
      <c r="F81" s="74"/>
      <c r="G81" s="76"/>
      <c r="H81" s="75">
        <f>('INSUMOS - QUANTIDADES'!B114*'INSUMOS - QUANTIDADES'!D114)</f>
        <v>0</v>
      </c>
      <c r="I81" s="85" t="s">
        <v>278</v>
      </c>
      <c r="J81" s="15">
        <f>(('INSUMOS - PREÇOS'!F40)/8)*$H$81</f>
        <v>0</v>
      </c>
    </row>
    <row r="82" spans="1:10" s="62" customFormat="1" ht="18.75" customHeight="1">
      <c r="A82" s="12"/>
      <c r="B82" s="73"/>
      <c r="C82" s="73"/>
      <c r="D82" s="74" t="s">
        <v>282</v>
      </c>
      <c r="E82" s="74" t="str">
        <f>'INSUMOS - QUANTIDADES'!A115</f>
        <v>   Funcionário 9</v>
      </c>
      <c r="F82" s="74"/>
      <c r="G82" s="76"/>
      <c r="H82" s="75">
        <f>('INSUMOS - QUANTIDADES'!B115*'INSUMOS - QUANTIDADES'!D115)</f>
        <v>0</v>
      </c>
      <c r="I82" s="85" t="s">
        <v>278</v>
      </c>
      <c r="J82" s="15">
        <f>(('INSUMOS - PREÇOS'!F41)/8)*$H$82</f>
        <v>0</v>
      </c>
    </row>
    <row r="83" spans="1:10" s="62" customFormat="1" ht="18.75" customHeight="1">
      <c r="A83" s="12"/>
      <c r="B83" s="73"/>
      <c r="C83" s="73"/>
      <c r="D83" s="74" t="s">
        <v>283</v>
      </c>
      <c r="E83" s="74" t="str">
        <f>'INSUMOS - QUANTIDADES'!A116</f>
        <v>   Funcionário 10</v>
      </c>
      <c r="F83" s="74"/>
      <c r="G83" s="76"/>
      <c r="H83" s="75">
        <f>('INSUMOS - QUANTIDADES'!B116*'INSUMOS - QUANTIDADES'!D116)</f>
        <v>0</v>
      </c>
      <c r="I83" s="85" t="s">
        <v>278</v>
      </c>
      <c r="J83" s="15">
        <f>(('INSUMOS - PREÇOS'!F42)/8)*$H$83</f>
        <v>0</v>
      </c>
    </row>
    <row r="84" spans="1:13" ht="18.75" customHeight="1">
      <c r="A84" s="12"/>
      <c r="B84" s="73"/>
      <c r="C84" s="79" t="s">
        <v>284</v>
      </c>
      <c r="D84" s="79"/>
      <c r="E84" s="79"/>
      <c r="F84" s="79"/>
      <c r="G84" s="80"/>
      <c r="H84" s="75"/>
      <c r="I84" s="85"/>
      <c r="J84" s="84">
        <f>SUM(J73:J83)</f>
        <v>11040</v>
      </c>
      <c r="L84" s="62"/>
      <c r="M84" s="62"/>
    </row>
    <row r="85" spans="1:13" ht="18.75" customHeight="1">
      <c r="A85" s="12"/>
      <c r="B85" s="73"/>
      <c r="C85" s="79"/>
      <c r="D85" s="79"/>
      <c r="E85" s="79"/>
      <c r="F85" s="79"/>
      <c r="G85" s="80"/>
      <c r="H85" s="75"/>
      <c r="I85" s="85"/>
      <c r="J85" s="84"/>
      <c r="L85" s="62"/>
      <c r="M85" s="62"/>
    </row>
    <row r="86" spans="1:10" ht="18.75" customHeight="1">
      <c r="A86" s="12"/>
      <c r="B86" s="69" t="s">
        <v>285</v>
      </c>
      <c r="C86" s="79" t="s">
        <v>125</v>
      </c>
      <c r="D86" s="79"/>
      <c r="E86" s="79"/>
      <c r="F86" s="79"/>
      <c r="G86" s="80"/>
      <c r="H86" s="75"/>
      <c r="I86" s="85"/>
      <c r="J86" s="15"/>
    </row>
    <row r="87" spans="1:13" s="63" customFormat="1" ht="18.75" customHeight="1">
      <c r="A87" s="12"/>
      <c r="B87" s="73"/>
      <c r="C87" s="73" t="s">
        <v>196</v>
      </c>
      <c r="D87" s="74" t="s">
        <v>128</v>
      </c>
      <c r="E87" s="74"/>
      <c r="F87" s="74"/>
      <c r="G87" s="76"/>
      <c r="H87" s="101">
        <f>'INSUMOS - QUANTIDADES'!E174*12</f>
        <v>120</v>
      </c>
      <c r="I87" s="85" t="s">
        <v>286</v>
      </c>
      <c r="J87" s="15">
        <f>$H$87*'INSUMOS - PREÇOS'!F44</f>
        <v>243.36</v>
      </c>
      <c r="L87" s="1"/>
      <c r="M87" s="1"/>
    </row>
    <row r="88" spans="1:13" s="63" customFormat="1" ht="18.75" customHeight="1">
      <c r="A88" s="12"/>
      <c r="B88" s="73"/>
      <c r="C88" s="73" t="s">
        <v>244</v>
      </c>
      <c r="D88" s="74" t="s">
        <v>130</v>
      </c>
      <c r="E88" s="74"/>
      <c r="F88" s="74"/>
      <c r="G88" s="76"/>
      <c r="H88" s="101">
        <f>'INSUMOS - QUANTIDADES'!E175*12</f>
        <v>2400</v>
      </c>
      <c r="I88" s="85" t="s">
        <v>287</v>
      </c>
      <c r="J88" s="15">
        <f>($H$88*'INSUMOS - PREÇOS'!F45)</f>
        <v>517.368</v>
      </c>
      <c r="L88" s="1"/>
      <c r="M88" s="1"/>
    </row>
    <row r="89" spans="1:10" ht="18.75" customHeight="1">
      <c r="A89" s="12"/>
      <c r="B89" s="73"/>
      <c r="C89" s="79" t="s">
        <v>288</v>
      </c>
      <c r="D89" s="79"/>
      <c r="E89" s="79"/>
      <c r="F89" s="79"/>
      <c r="G89" s="80"/>
      <c r="H89" s="75"/>
      <c r="I89" s="85"/>
      <c r="J89" s="84">
        <f>SUM(J87:J88)</f>
        <v>760.7280000000001</v>
      </c>
    </row>
    <row r="90" spans="1:10" ht="18.75" customHeight="1">
      <c r="A90" s="12"/>
      <c r="B90" s="73"/>
      <c r="C90" s="73"/>
      <c r="D90" s="73"/>
      <c r="E90" s="74"/>
      <c r="F90" s="74"/>
      <c r="G90" s="74"/>
      <c r="H90" s="75"/>
      <c r="I90" s="85"/>
      <c r="J90" s="15"/>
    </row>
    <row r="91" spans="1:10" ht="18.75" customHeight="1">
      <c r="A91" s="68"/>
      <c r="B91" s="69" t="s">
        <v>289</v>
      </c>
      <c r="C91" s="79" t="s">
        <v>290</v>
      </c>
      <c r="D91" s="79"/>
      <c r="E91" s="79"/>
      <c r="F91" s="79"/>
      <c r="G91" s="79"/>
      <c r="H91" s="72"/>
      <c r="I91" s="83"/>
      <c r="J91" s="84"/>
    </row>
    <row r="92" spans="1:10" ht="18.75" customHeight="1">
      <c r="A92" s="12"/>
      <c r="B92" s="73"/>
      <c r="C92" s="73" t="s">
        <v>196</v>
      </c>
      <c r="D92" s="74" t="s">
        <v>291</v>
      </c>
      <c r="E92" s="74"/>
      <c r="F92" s="74"/>
      <c r="G92" s="74"/>
      <c r="H92" s="102"/>
      <c r="I92" s="111"/>
      <c r="J92" s="112"/>
    </row>
    <row r="93" spans="1:10" ht="18.75" customHeight="1">
      <c r="A93" s="12"/>
      <c r="B93" s="73"/>
      <c r="C93" s="73"/>
      <c r="D93" s="74" t="s">
        <v>199</v>
      </c>
      <c r="E93" s="74" t="s">
        <v>136</v>
      </c>
      <c r="F93" s="74"/>
      <c r="G93" s="76"/>
      <c r="H93" s="75">
        <f>'INSUMOS - QUANTIDADES'!D124</f>
        <v>306.17999999999995</v>
      </c>
      <c r="I93" s="85" t="s">
        <v>292</v>
      </c>
      <c r="J93" s="15">
        <f>((1/'INSUMOS - QUANTIDADES'!$F$144)*(($H$93*'INSUMOS - PREÇOS'!F12)-('INSUMOS - QUANTIDADES'!$H$144)))/2</f>
        <v>1913.6249999999998</v>
      </c>
    </row>
    <row r="94" spans="1:10" ht="18.75" customHeight="1">
      <c r="A94" s="12"/>
      <c r="B94" s="73"/>
      <c r="C94" s="73"/>
      <c r="D94" s="74" t="s">
        <v>222</v>
      </c>
      <c r="E94" s="74" t="s">
        <v>88</v>
      </c>
      <c r="F94" s="74"/>
      <c r="G94" s="76"/>
      <c r="H94" s="75">
        <f>'INSUMOS - QUANTIDADES'!D125</f>
        <v>0</v>
      </c>
      <c r="I94" s="85" t="s">
        <v>89</v>
      </c>
      <c r="J94" s="15">
        <f>((1/'INSUMOS - QUANTIDADES'!$F$145)*(($H$94*'INSUMOS - PREÇOS'!F13)-('INSUMOS - QUANTIDADES'!$H$145)))</f>
        <v>0</v>
      </c>
    </row>
    <row r="95" spans="1:10" ht="18.75" customHeight="1">
      <c r="A95" s="12"/>
      <c r="B95" s="73"/>
      <c r="C95" s="73" t="s">
        <v>244</v>
      </c>
      <c r="D95" s="74" t="s">
        <v>293</v>
      </c>
      <c r="E95" s="74"/>
      <c r="F95" s="74"/>
      <c r="G95" s="74"/>
      <c r="H95" s="75"/>
      <c r="I95" s="85"/>
      <c r="J95" s="15"/>
    </row>
    <row r="96" spans="1:10" ht="18.75" customHeight="1">
      <c r="A96" s="12"/>
      <c r="B96" s="73"/>
      <c r="C96" s="73"/>
      <c r="D96" s="103" t="s">
        <v>246</v>
      </c>
      <c r="E96" s="103" t="str">
        <f>'INSUMOS - QUANTIDADES'!A131</f>
        <v>Trator</v>
      </c>
      <c r="F96" s="103"/>
      <c r="G96" s="104"/>
      <c r="H96" s="105">
        <f>('INSUMOS - QUANTIDADES'!E131*12)</f>
        <v>180</v>
      </c>
      <c r="I96" s="85" t="s">
        <v>278</v>
      </c>
      <c r="J96" s="15">
        <f>$H$96*(('INSUMOS - PREÇOS'!F15-'INSUMOS - QUANTIDADES'!$H$131)/'INSUMOS - QUANTIDADES'!$F$131)</f>
        <v>261</v>
      </c>
    </row>
    <row r="97" spans="1:10" ht="18.75" customHeight="1">
      <c r="A97" s="12"/>
      <c r="B97" s="73"/>
      <c r="C97" s="73"/>
      <c r="D97" s="103" t="s">
        <v>254</v>
      </c>
      <c r="E97" s="103" t="str">
        <f>'INSUMOS - QUANTIDADES'!A132</f>
        <v>Carreta 4 rodas</v>
      </c>
      <c r="F97" s="103"/>
      <c r="G97" s="104"/>
      <c r="H97" s="105">
        <f>('INSUMOS - QUANTIDADES'!E132*12)</f>
        <v>180</v>
      </c>
      <c r="I97" s="85" t="s">
        <v>278</v>
      </c>
      <c r="J97" s="15">
        <f>$H$97*(('INSUMOS - PREÇOS'!F16-'INSUMOS - QUANTIDADES'!$H$132)/'INSUMOS - QUANTIDADES'!$F$132)</f>
        <v>166.5</v>
      </c>
    </row>
    <row r="98" spans="1:10" ht="18.75" customHeight="1">
      <c r="A98" s="12"/>
      <c r="B98" s="73"/>
      <c r="C98" s="73"/>
      <c r="D98" s="103" t="s">
        <v>261</v>
      </c>
      <c r="E98" s="103" t="str">
        <f>'INSUMOS - QUANTIDADES'!A133</f>
        <v>Ensiladeira</v>
      </c>
      <c r="F98" s="103"/>
      <c r="G98" s="104"/>
      <c r="H98" s="105">
        <f>('INSUMOS - QUANTIDADES'!E133*12)</f>
        <v>180</v>
      </c>
      <c r="I98" s="85" t="s">
        <v>278</v>
      </c>
      <c r="J98" s="15">
        <f>$H$98*(('INSUMOS - PREÇOS'!F17-'INSUMOS - QUANTIDADES'!$H$133)/'INSUMOS - QUANTIDADES'!$F$133)</f>
        <v>1584.0000000000002</v>
      </c>
    </row>
    <row r="99" spans="1:10" ht="18.75" customHeight="1">
      <c r="A99" s="12"/>
      <c r="B99" s="73"/>
      <c r="C99" s="73"/>
      <c r="D99" s="103" t="s">
        <v>282</v>
      </c>
      <c r="E99" s="103" t="str">
        <f>'INSUMOS - QUANTIDADES'!A134</f>
        <v>Equipamento 1</v>
      </c>
      <c r="F99" s="103"/>
      <c r="G99" s="104"/>
      <c r="H99" s="105">
        <f>('INSUMOS - QUANTIDADES'!E134*12)</f>
        <v>360</v>
      </c>
      <c r="I99" s="85" t="s">
        <v>278</v>
      </c>
      <c r="J99" s="15">
        <f>$H$99*(('INSUMOS - PREÇOS'!F18-'INSUMOS - QUANTIDADES'!$H$134)/'INSUMOS - QUANTIDADES'!$F$134)</f>
        <v>0</v>
      </c>
    </row>
    <row r="100" spans="1:10" ht="18.75" customHeight="1">
      <c r="A100" s="12"/>
      <c r="B100" s="73"/>
      <c r="C100" s="73"/>
      <c r="D100" s="103" t="s">
        <v>283</v>
      </c>
      <c r="E100" s="103" t="str">
        <f>'INSUMOS - QUANTIDADES'!A135</f>
        <v>Equipamento 2</v>
      </c>
      <c r="F100" s="103"/>
      <c r="G100" s="104"/>
      <c r="H100" s="105">
        <f>('INSUMOS - QUANTIDADES'!E135*12)</f>
        <v>360</v>
      </c>
      <c r="I100" s="85" t="s">
        <v>278</v>
      </c>
      <c r="J100" s="15">
        <f>$H$100*(('INSUMOS - PREÇOS'!F19-'INSUMOS - QUANTIDADES'!$H$135)/'INSUMOS - QUANTIDADES'!$F$135)</f>
        <v>0</v>
      </c>
    </row>
    <row r="101" spans="1:10" ht="18.75" customHeight="1">
      <c r="A101" s="12"/>
      <c r="B101" s="73"/>
      <c r="C101" s="73"/>
      <c r="D101" s="103" t="s">
        <v>294</v>
      </c>
      <c r="E101" s="103" t="str">
        <f>'INSUMOS - QUANTIDADES'!A136</f>
        <v>Equipamento 3</v>
      </c>
      <c r="F101" s="103"/>
      <c r="G101" s="104"/>
      <c r="H101" s="105">
        <f>('INSUMOS - QUANTIDADES'!E136*12)</f>
        <v>360</v>
      </c>
      <c r="I101" s="85" t="s">
        <v>278</v>
      </c>
      <c r="J101" s="15">
        <f>$H$101*(('INSUMOS - PREÇOS'!F20-'INSUMOS - QUANTIDADES'!$H$136)/'INSUMOS - QUANTIDADES'!$F$136)</f>
        <v>0</v>
      </c>
    </row>
    <row r="102" spans="1:10" ht="18.75" customHeight="1">
      <c r="A102" s="12"/>
      <c r="B102" s="73"/>
      <c r="C102" s="73"/>
      <c r="D102" s="103" t="s">
        <v>295</v>
      </c>
      <c r="E102" s="103" t="str">
        <f>'INSUMOS - QUANTIDADES'!A138</f>
        <v>Balança</v>
      </c>
      <c r="F102" s="103"/>
      <c r="G102" s="104"/>
      <c r="H102" s="105"/>
      <c r="I102" s="85"/>
      <c r="J102" s="15">
        <f>(('INSUMOS - PREÇOS'!F21-'INSUMOS - QUANTIDADES'!H138)/'INSUMOS - QUANTIDADES'!F138)</f>
        <v>50</v>
      </c>
    </row>
    <row r="103" spans="1:10" ht="18.75" customHeight="1">
      <c r="A103" s="12"/>
      <c r="B103" s="73"/>
      <c r="C103" s="73"/>
      <c r="D103" s="103" t="s">
        <v>296</v>
      </c>
      <c r="E103" s="103" t="str">
        <f>'INSUMOS - QUANTIDADES'!A139</f>
        <v>Equipamento 5</v>
      </c>
      <c r="F103" s="103"/>
      <c r="G103" s="104"/>
      <c r="H103" s="105"/>
      <c r="I103" s="85"/>
      <c r="J103" s="15">
        <f>(('INSUMOS - PREÇOS'!F22-'INSUMOS - QUANTIDADES'!H139)/'INSUMOS - QUANTIDADES'!F139)</f>
        <v>0</v>
      </c>
    </row>
    <row r="104" spans="1:10" ht="18.75" customHeight="1">
      <c r="A104" s="12"/>
      <c r="B104" s="73"/>
      <c r="C104" s="73"/>
      <c r="D104" s="103" t="s">
        <v>297</v>
      </c>
      <c r="E104" s="103" t="str">
        <f>'INSUMOS - QUANTIDADES'!A140</f>
        <v>Equipamento 6</v>
      </c>
      <c r="F104" s="103"/>
      <c r="G104" s="104"/>
      <c r="H104" s="105"/>
      <c r="I104" s="85"/>
      <c r="J104" s="15">
        <f>(('INSUMOS - PREÇOS'!F23-'INSUMOS - QUANTIDADES'!H140)/'INSUMOS - QUANTIDADES'!F140)</f>
        <v>0</v>
      </c>
    </row>
    <row r="105" spans="1:10" ht="18.75" customHeight="1">
      <c r="A105" s="12"/>
      <c r="B105" s="73"/>
      <c r="C105" s="73"/>
      <c r="D105" s="103" t="s">
        <v>298</v>
      </c>
      <c r="E105" s="103" t="str">
        <f>'INSUMOS - QUANTIDADES'!A141</f>
        <v>Equipamento 7</v>
      </c>
      <c r="F105" s="103"/>
      <c r="G105" s="104"/>
      <c r="H105" s="105"/>
      <c r="I105" s="85"/>
      <c r="J105" s="15">
        <f>(('INSUMOS - PREÇOS'!F24-'INSUMOS - QUANTIDADES'!H141)/'INSUMOS - QUANTIDADES'!F141)</f>
        <v>0</v>
      </c>
    </row>
    <row r="106" spans="1:10" ht="18.75" customHeight="1">
      <c r="A106" s="12"/>
      <c r="B106" s="73"/>
      <c r="C106" s="73"/>
      <c r="D106" s="103" t="s">
        <v>299</v>
      </c>
      <c r="E106" s="103" t="str">
        <f>'INSUMOS - QUANTIDADES'!A142</f>
        <v>Equipamento 8</v>
      </c>
      <c r="F106" s="103"/>
      <c r="G106" s="104"/>
      <c r="H106" s="105"/>
      <c r="I106" s="85"/>
      <c r="J106" s="15">
        <f>(('INSUMOS - PREÇOS'!F25-'INSUMOS - QUANTIDADES'!H142)/'INSUMOS - QUANTIDADES'!F142)</f>
        <v>0</v>
      </c>
    </row>
    <row r="107" spans="1:10" ht="18.75" customHeight="1">
      <c r="A107" s="12"/>
      <c r="B107" s="73"/>
      <c r="C107" s="73"/>
      <c r="D107" s="103" t="s">
        <v>300</v>
      </c>
      <c r="E107" s="103" t="str">
        <f>'INSUMOS - QUANTIDADES'!A143</f>
        <v>Equipamento 9</v>
      </c>
      <c r="F107" s="103"/>
      <c r="G107" s="104"/>
      <c r="H107" s="105"/>
      <c r="I107" s="85"/>
      <c r="J107" s="15">
        <f>(('INSUMOS - PREÇOS'!F26-'INSUMOS - QUANTIDADES'!H143)/'INSUMOS - QUANTIDADES'!F143)</f>
        <v>0</v>
      </c>
    </row>
    <row r="108" spans="1:10" ht="18.75" customHeight="1">
      <c r="A108" s="12"/>
      <c r="B108" s="73"/>
      <c r="C108" s="73" t="s">
        <v>301</v>
      </c>
      <c r="D108" s="74" t="s">
        <v>302</v>
      </c>
      <c r="E108" s="74"/>
      <c r="F108" s="74"/>
      <c r="G108" s="74"/>
      <c r="H108" s="75">
        <f>'INSUMOS - QUANTIDADES'!F147</f>
        <v>36</v>
      </c>
      <c r="I108" s="85" t="s">
        <v>303</v>
      </c>
      <c r="J108" s="15">
        <f>(((1/$H$108))*('INSUMOS - PREÇOS'!F29-'INSUMOS - QUANTIDADES'!$H$147))*$M$12</f>
        <v>197.91666666666663</v>
      </c>
    </row>
    <row r="109" spans="1:10" ht="18.75" customHeight="1">
      <c r="A109" s="12"/>
      <c r="B109" s="73"/>
      <c r="C109" s="73" t="s">
        <v>304</v>
      </c>
      <c r="D109" s="74" t="s">
        <v>305</v>
      </c>
      <c r="E109" s="74"/>
      <c r="F109" s="74"/>
      <c r="G109" s="76"/>
      <c r="H109" s="75">
        <f>'INSUMOS - QUANTIDADES'!F148</f>
        <v>72</v>
      </c>
      <c r="I109" s="85" t="s">
        <v>303</v>
      </c>
      <c r="J109" s="15">
        <f>(((1/$H$109))*('INSUMOS - PREÇOS'!F30-'INSUMOS - QUANTIDADES'!$H$148))*$M$14</f>
        <v>0</v>
      </c>
    </row>
    <row r="110" spans="1:10" ht="18.75" customHeight="1">
      <c r="A110" s="12"/>
      <c r="B110" s="73"/>
      <c r="C110" s="79" t="s">
        <v>306</v>
      </c>
      <c r="D110" s="79"/>
      <c r="E110" s="79"/>
      <c r="F110" s="79"/>
      <c r="G110" s="80"/>
      <c r="H110" s="75"/>
      <c r="I110" s="85"/>
      <c r="J110" s="84">
        <f>SUM(J93:J109)</f>
        <v>4173.041666666667</v>
      </c>
    </row>
    <row r="111" spans="1:10" ht="18.75" customHeight="1">
      <c r="A111" s="12"/>
      <c r="B111" s="69"/>
      <c r="C111" s="69"/>
      <c r="D111" s="79"/>
      <c r="E111" s="79"/>
      <c r="F111" s="79"/>
      <c r="G111" s="79"/>
      <c r="H111" s="75"/>
      <c r="I111" s="85"/>
      <c r="J111" s="84"/>
    </row>
    <row r="112" spans="1:10" ht="18.75" customHeight="1">
      <c r="A112" s="68"/>
      <c r="B112" s="69" t="s">
        <v>307</v>
      </c>
      <c r="C112" s="79" t="s">
        <v>308</v>
      </c>
      <c r="D112" s="79"/>
      <c r="E112" s="79"/>
      <c r="F112" s="79"/>
      <c r="G112" s="79"/>
      <c r="H112" s="72"/>
      <c r="I112" s="83"/>
      <c r="J112" s="84"/>
    </row>
    <row r="113" spans="1:10" ht="18.75" customHeight="1">
      <c r="A113" s="12"/>
      <c r="B113" s="73"/>
      <c r="C113" s="73" t="s">
        <v>196</v>
      </c>
      <c r="D113" s="103" t="s">
        <v>309</v>
      </c>
      <c r="E113" s="103"/>
      <c r="F113" s="103"/>
      <c r="G113" s="103"/>
      <c r="H113" s="105"/>
      <c r="I113" s="113"/>
      <c r="J113" s="15"/>
    </row>
    <row r="114" spans="1:10" ht="18.75" customHeight="1">
      <c r="A114" s="12"/>
      <c r="B114" s="73"/>
      <c r="C114" s="73"/>
      <c r="D114" s="103" t="s">
        <v>199</v>
      </c>
      <c r="E114" s="103" t="str">
        <f>'INSUMOS - QUANTIDADES'!A131</f>
        <v>Trator</v>
      </c>
      <c r="F114" s="103"/>
      <c r="G114" s="104"/>
      <c r="H114" s="105">
        <f aca="true" t="shared" si="0" ref="H114:H125">H96</f>
        <v>180</v>
      </c>
      <c r="I114" s="85" t="s">
        <v>278</v>
      </c>
      <c r="J114" s="15">
        <f>$H$114*(('INSUMOS - QUANTIDADES'!D154*'INSUMOS - PREÇOS'!F15)/('INSUMOS - QUANTIDADES'!$F$131))</f>
        <v>97.87499999999999</v>
      </c>
    </row>
    <row r="115" spans="1:10" ht="18.75" customHeight="1">
      <c r="A115" s="12"/>
      <c r="B115" s="73"/>
      <c r="C115" s="73"/>
      <c r="D115" s="103" t="s">
        <v>222</v>
      </c>
      <c r="E115" s="103" t="str">
        <f>'INSUMOS - QUANTIDADES'!A132</f>
        <v>Carreta 4 rodas</v>
      </c>
      <c r="F115" s="103"/>
      <c r="G115" s="104"/>
      <c r="H115" s="105">
        <f t="shared" si="0"/>
        <v>180</v>
      </c>
      <c r="I115" s="85" t="s">
        <v>278</v>
      </c>
      <c r="J115" s="15">
        <f>$H$115*(('INSUMOS - QUANTIDADES'!D154*'INSUMOS - PREÇOS'!F16)/('INSUMOS - QUANTIDADES'!$F$132))</f>
        <v>62.4375</v>
      </c>
    </row>
    <row r="116" spans="1:10" ht="18.75" customHeight="1">
      <c r="A116" s="12"/>
      <c r="B116" s="73"/>
      <c r="C116" s="73"/>
      <c r="D116" s="103" t="s">
        <v>234</v>
      </c>
      <c r="E116" s="103" t="str">
        <f>'INSUMOS - QUANTIDADES'!A133</f>
        <v>Ensiladeira</v>
      </c>
      <c r="F116" s="103"/>
      <c r="G116" s="104"/>
      <c r="H116" s="105">
        <f t="shared" si="0"/>
        <v>180</v>
      </c>
      <c r="I116" s="85" t="s">
        <v>278</v>
      </c>
      <c r="J116" s="15">
        <f>$H$116*(('INSUMOS - QUANTIDADES'!D154*'INSUMOS - PREÇOS'!F17)/('INSUMOS - QUANTIDADES'!$F$133))</f>
        <v>594</v>
      </c>
    </row>
    <row r="117" spans="1:10" ht="18.75" customHeight="1">
      <c r="A117" s="12"/>
      <c r="B117" s="73"/>
      <c r="C117" s="73"/>
      <c r="D117" s="103" t="s">
        <v>279</v>
      </c>
      <c r="E117" s="103" t="str">
        <f>'INSUMOS - QUANTIDADES'!A134</f>
        <v>Equipamento 1</v>
      </c>
      <c r="F117" s="103"/>
      <c r="G117" s="104"/>
      <c r="H117" s="105">
        <f t="shared" si="0"/>
        <v>360</v>
      </c>
      <c r="I117" s="85" t="s">
        <v>278</v>
      </c>
      <c r="J117" s="15">
        <f>$H$117*(('INSUMOS - QUANTIDADES'!D154*'INSUMOS - PREÇOS'!F18)/('INSUMOS - QUANTIDADES'!$F$134))</f>
        <v>0</v>
      </c>
    </row>
    <row r="118" spans="1:10" ht="18.75" customHeight="1">
      <c r="A118" s="12"/>
      <c r="B118" s="73"/>
      <c r="C118" s="73"/>
      <c r="D118" s="103" t="s">
        <v>280</v>
      </c>
      <c r="E118" s="103" t="str">
        <f>'INSUMOS - QUANTIDADES'!A135</f>
        <v>Equipamento 2</v>
      </c>
      <c r="F118" s="103"/>
      <c r="G118" s="104"/>
      <c r="H118" s="105">
        <f t="shared" si="0"/>
        <v>360</v>
      </c>
      <c r="I118" s="85" t="s">
        <v>278</v>
      </c>
      <c r="J118" s="15">
        <f>$H$118*(('INSUMOS - QUANTIDADES'!D154*'INSUMOS - PREÇOS'!F19)/('INSUMOS - QUANTIDADES'!$F$135))</f>
        <v>0</v>
      </c>
    </row>
    <row r="119" spans="1:10" ht="18.75" customHeight="1">
      <c r="A119" s="12"/>
      <c r="B119" s="73"/>
      <c r="C119" s="73"/>
      <c r="D119" s="103" t="s">
        <v>310</v>
      </c>
      <c r="E119" s="103" t="str">
        <f>'INSUMOS - QUANTIDADES'!A136</f>
        <v>Equipamento 3</v>
      </c>
      <c r="F119" s="103"/>
      <c r="G119" s="104"/>
      <c r="H119" s="105">
        <f t="shared" si="0"/>
        <v>360</v>
      </c>
      <c r="I119" s="85" t="s">
        <v>278</v>
      </c>
      <c r="J119" s="114">
        <f>$H$119*(('INSUMOS - QUANTIDADES'!D158*'INSUMOS - PREÇOS'!F20)/('INSUMOS - QUANTIDADES'!$F$132))</f>
        <v>0</v>
      </c>
    </row>
    <row r="120" spans="1:10" ht="18.75" customHeight="1">
      <c r="A120" s="12"/>
      <c r="B120" s="73"/>
      <c r="C120" s="73"/>
      <c r="D120" s="103" t="s">
        <v>311</v>
      </c>
      <c r="E120" s="103" t="str">
        <f>'INSUMOS - QUANTIDADES'!A138</f>
        <v>Balança</v>
      </c>
      <c r="F120" s="103"/>
      <c r="G120" s="104"/>
      <c r="H120" s="106">
        <f t="shared" si="0"/>
        <v>0</v>
      </c>
      <c r="I120" s="115" t="s">
        <v>312</v>
      </c>
      <c r="J120" s="114">
        <f>$H$120*(('INSUMOS - QUANTIDADES'!D158*'INSUMOS - PREÇOS'!F21)/('INSUMOS - QUANTIDADES'!$F$133))</f>
        <v>0</v>
      </c>
    </row>
    <row r="121" spans="1:10" ht="18.75" customHeight="1">
      <c r="A121" s="12"/>
      <c r="B121" s="73"/>
      <c r="C121" s="73"/>
      <c r="D121" s="103" t="s">
        <v>313</v>
      </c>
      <c r="E121" s="103" t="str">
        <f>'INSUMOS - QUANTIDADES'!A139</f>
        <v>Equipamento 5</v>
      </c>
      <c r="F121" s="103"/>
      <c r="G121" s="104"/>
      <c r="H121" s="106">
        <f t="shared" si="0"/>
        <v>0</v>
      </c>
      <c r="I121" s="115" t="s">
        <v>312</v>
      </c>
      <c r="J121" s="114">
        <f>$H$121*(('INSUMOS - QUANTIDADES'!D158*'INSUMOS - PREÇOS'!F22)/('INSUMOS - QUANTIDADES'!$F$134))</f>
        <v>0</v>
      </c>
    </row>
    <row r="122" spans="1:10" ht="18.75" customHeight="1">
      <c r="A122" s="12"/>
      <c r="B122" s="73"/>
      <c r="C122" s="73"/>
      <c r="D122" s="103" t="s">
        <v>314</v>
      </c>
      <c r="E122" s="103" t="str">
        <f>'INSUMOS - QUANTIDADES'!A140</f>
        <v>Equipamento 6</v>
      </c>
      <c r="F122" s="103"/>
      <c r="G122" s="104"/>
      <c r="H122" s="106">
        <f t="shared" si="0"/>
        <v>0</v>
      </c>
      <c r="I122" s="115" t="s">
        <v>312</v>
      </c>
      <c r="J122" s="114">
        <f>$H$122*(('INSUMOS - QUANTIDADES'!D158*'INSUMOS - PREÇOS'!F23)/('INSUMOS - QUANTIDADES'!$F$135))</f>
        <v>0</v>
      </c>
    </row>
    <row r="123" spans="1:10" ht="18.75" customHeight="1">
      <c r="A123" s="12"/>
      <c r="B123" s="73"/>
      <c r="C123" s="73"/>
      <c r="D123" s="103" t="s">
        <v>315</v>
      </c>
      <c r="E123" s="103" t="str">
        <f>'INSUMOS - QUANTIDADES'!A141</f>
        <v>Equipamento 7</v>
      </c>
      <c r="F123" s="103"/>
      <c r="G123" s="104"/>
      <c r="H123" s="106">
        <f t="shared" si="0"/>
        <v>0</v>
      </c>
      <c r="I123" s="115" t="s">
        <v>312</v>
      </c>
      <c r="J123" s="114">
        <f>$H$123*(('INSUMOS - QUANTIDADES'!D162*'INSUMOS - PREÇOS'!F24)/('INSUMOS - QUANTIDADES'!$F$132))</f>
        <v>0</v>
      </c>
    </row>
    <row r="124" spans="1:10" ht="18.75" customHeight="1">
      <c r="A124" s="12"/>
      <c r="B124" s="73"/>
      <c r="C124" s="73"/>
      <c r="D124" s="103" t="s">
        <v>316</v>
      </c>
      <c r="E124" s="103" t="str">
        <f>'INSUMOS - QUANTIDADES'!A142</f>
        <v>Equipamento 8</v>
      </c>
      <c r="F124" s="103"/>
      <c r="G124" s="104"/>
      <c r="H124" s="106">
        <f t="shared" si="0"/>
        <v>0</v>
      </c>
      <c r="I124" s="115" t="s">
        <v>312</v>
      </c>
      <c r="J124" s="114">
        <f>$H$124*(('INSUMOS - QUANTIDADES'!D162*'INSUMOS - PREÇOS'!F25)/('INSUMOS - QUANTIDADES'!$F$133))</f>
        <v>0</v>
      </c>
    </row>
    <row r="125" spans="1:10" ht="18.75" customHeight="1">
      <c r="A125" s="12"/>
      <c r="B125" s="73"/>
      <c r="C125" s="73"/>
      <c r="D125" s="103" t="s">
        <v>317</v>
      </c>
      <c r="E125" s="103" t="str">
        <f>'INSUMOS - QUANTIDADES'!A143</f>
        <v>Equipamento 9</v>
      </c>
      <c r="F125" s="103"/>
      <c r="G125" s="104"/>
      <c r="H125" s="106">
        <f t="shared" si="0"/>
        <v>0</v>
      </c>
      <c r="I125" s="115" t="s">
        <v>312</v>
      </c>
      <c r="J125" s="114">
        <f>$H$125*(('INSUMOS - QUANTIDADES'!D162*'INSUMOS - PREÇOS'!F26)/('INSUMOS - QUANTIDADES'!$F$134))</f>
        <v>0</v>
      </c>
    </row>
    <row r="126" spans="1:13" s="62" customFormat="1" ht="18.75" customHeight="1">
      <c r="A126" s="12"/>
      <c r="B126" s="73"/>
      <c r="C126" s="73" t="s">
        <v>244</v>
      </c>
      <c r="D126" s="74" t="s">
        <v>318</v>
      </c>
      <c r="E126" s="74"/>
      <c r="F126" s="74"/>
      <c r="G126" s="76"/>
      <c r="H126" s="100"/>
      <c r="I126" s="100"/>
      <c r="J126" s="110"/>
      <c r="L126" s="1"/>
      <c r="M126" s="1"/>
    </row>
    <row r="127" spans="1:13" s="62" customFormat="1" ht="18.75" customHeight="1">
      <c r="A127" s="12"/>
      <c r="B127" s="73"/>
      <c r="C127" s="73"/>
      <c r="D127" s="74" t="s">
        <v>246</v>
      </c>
      <c r="E127" s="74" t="s">
        <v>86</v>
      </c>
      <c r="F127" s="74"/>
      <c r="G127" s="76"/>
      <c r="H127" s="101">
        <f>'INSUMOS - QUANTIDADES'!$D$124</f>
        <v>306.17999999999995</v>
      </c>
      <c r="I127" s="85" t="s">
        <v>292</v>
      </c>
      <c r="J127" s="15">
        <f>((($H$127*'INSUMOS - PREÇOS'!F12)*'INSUMOS - QUANTIDADES'!D155)/'INSUMOS - QUANTIDADES'!$F$144)</f>
        <v>574.0874999999999</v>
      </c>
      <c r="L127" s="116"/>
      <c r="M127" s="1"/>
    </row>
    <row r="128" spans="1:13" s="62" customFormat="1" ht="18.75" customHeight="1">
      <c r="A128" s="12"/>
      <c r="B128" s="73"/>
      <c r="C128" s="73"/>
      <c r="D128" s="74" t="s">
        <v>254</v>
      </c>
      <c r="E128" s="74" t="s">
        <v>88</v>
      </c>
      <c r="F128" s="74"/>
      <c r="G128" s="76"/>
      <c r="H128" s="101">
        <f>'INSUMOS - QUANTIDADES'!D125</f>
        <v>0</v>
      </c>
      <c r="I128" s="85" t="s">
        <v>319</v>
      </c>
      <c r="J128" s="15">
        <f>((($H$128*'INSUMOS - PREÇOS'!F13)*'INSUMOS - QUANTIDADES'!D155)/'INSUMOS - QUANTIDADES'!$F$145)</f>
        <v>0</v>
      </c>
      <c r="L128" s="1"/>
      <c r="M128" s="1"/>
    </row>
    <row r="129" spans="1:10" ht="18.75" customHeight="1">
      <c r="A129" s="12"/>
      <c r="B129" s="73"/>
      <c r="C129" s="73" t="s">
        <v>301</v>
      </c>
      <c r="D129" s="74" t="s">
        <v>320</v>
      </c>
      <c r="E129" s="74"/>
      <c r="F129" s="74"/>
      <c r="G129" s="74"/>
      <c r="H129" s="75"/>
      <c r="I129" s="85"/>
      <c r="J129" s="15"/>
    </row>
    <row r="130" spans="1:13" s="62" customFormat="1" ht="18.75" customHeight="1">
      <c r="A130" s="12"/>
      <c r="B130" s="73"/>
      <c r="C130" s="73"/>
      <c r="D130" s="73" t="s">
        <v>321</v>
      </c>
      <c r="E130" s="74" t="s">
        <v>322</v>
      </c>
      <c r="F130" s="74"/>
      <c r="G130" s="74"/>
      <c r="H130" s="101">
        <f>'INSUMOS - QUANTIDADES'!$D$122</f>
        <v>15</v>
      </c>
      <c r="I130" s="85" t="s">
        <v>84</v>
      </c>
      <c r="J130" s="112"/>
      <c r="L130" s="1"/>
      <c r="M130" s="1"/>
    </row>
    <row r="131" spans="1:13" s="62" customFormat="1" ht="18.75" customHeight="1">
      <c r="A131" s="12"/>
      <c r="B131" s="73"/>
      <c r="C131" s="73"/>
      <c r="D131" s="73"/>
      <c r="E131" s="74" t="s">
        <v>247</v>
      </c>
      <c r="F131" s="74" t="s">
        <v>157</v>
      </c>
      <c r="G131" s="76"/>
      <c r="H131" s="101">
        <f>'INSUMOS - QUANTIDADES'!$D$162</f>
        <v>0</v>
      </c>
      <c r="I131" s="85" t="s">
        <v>323</v>
      </c>
      <c r="J131" s="15">
        <f>((($H$130*0.33)*(0.12*'INSUMOS - QUANTIDADES'!$B$131)*'INSUMOS - PREÇOS'!F44)*'INSUMOS - QUANTIDADES'!$E$162)+($H$131*'INSUMOS - PREÇOS'!F47)</f>
        <v>542.0844000000001</v>
      </c>
      <c r="L131" s="1"/>
      <c r="M131" s="1"/>
    </row>
    <row r="132" spans="1:13" s="62" customFormat="1" ht="18.75" customHeight="1">
      <c r="A132" s="12"/>
      <c r="B132" s="73"/>
      <c r="C132" s="73"/>
      <c r="D132" s="73"/>
      <c r="E132" s="74" t="s">
        <v>249</v>
      </c>
      <c r="F132" s="74" t="s">
        <v>159</v>
      </c>
      <c r="G132" s="76"/>
      <c r="H132" s="101">
        <f>'INSUMOS - QUANTIDADES'!$D$163</f>
        <v>45</v>
      </c>
      <c r="I132" s="85" t="s">
        <v>323</v>
      </c>
      <c r="J132" s="15">
        <f>((($H$130*0.33)*(0.12*'INSUMOS - QUANTIDADES'!$B$131)*'INSUMOS - PREÇOS'!F44)*'INSUMOS - QUANTIDADES'!$E$163)+($H$132*'INSUMOS - PREÇOS'!F48)</f>
        <v>1665.3474</v>
      </c>
      <c r="L132" s="1"/>
      <c r="M132" s="1"/>
    </row>
    <row r="133" spans="1:10" s="62" customFormat="1" ht="18.75" customHeight="1">
      <c r="A133" s="12"/>
      <c r="B133" s="73"/>
      <c r="C133" s="73"/>
      <c r="D133" s="73"/>
      <c r="E133" s="74" t="s">
        <v>252</v>
      </c>
      <c r="F133" s="74" t="s">
        <v>160</v>
      </c>
      <c r="G133" s="76"/>
      <c r="H133" s="101">
        <f>'INSUMOS - QUANTIDADES'!$D$164</f>
        <v>0</v>
      </c>
      <c r="I133" s="85" t="s">
        <v>323</v>
      </c>
      <c r="J133" s="15">
        <f>((($H$130*0.33)*(0.12*'INSUMOS - QUANTIDADES'!$B$131)*'INSUMOS - PREÇOS'!F44)*'INSUMOS - QUANTIDADES'!$E$164)+($H$133*'INSUMOS - PREÇOS'!F49)</f>
        <v>0</v>
      </c>
    </row>
    <row r="134" spans="1:13" ht="18.75" customHeight="1">
      <c r="A134" s="12"/>
      <c r="B134" s="73"/>
      <c r="C134" s="73"/>
      <c r="D134" s="73" t="s">
        <v>324</v>
      </c>
      <c r="E134" s="74" t="s">
        <v>124</v>
      </c>
      <c r="F134" s="74"/>
      <c r="G134" s="74"/>
      <c r="H134" s="101">
        <f>'INSUMOS - QUANTIDADES'!$D$123</f>
        <v>0</v>
      </c>
      <c r="I134" s="85" t="s">
        <v>84</v>
      </c>
      <c r="J134" s="123"/>
      <c r="L134" s="62"/>
      <c r="M134" s="62"/>
    </row>
    <row r="135" spans="1:13" ht="18.75" customHeight="1">
      <c r="A135" s="12"/>
      <c r="B135" s="73"/>
      <c r="C135" s="73"/>
      <c r="D135" s="73"/>
      <c r="E135" s="74" t="s">
        <v>255</v>
      </c>
      <c r="F135" s="74" t="s">
        <v>157</v>
      </c>
      <c r="G135" s="76"/>
      <c r="H135" s="101">
        <f>'INSUMOS - QUANTIDADES'!$D$166</f>
        <v>0</v>
      </c>
      <c r="I135" s="85" t="s">
        <v>323</v>
      </c>
      <c r="J135" s="15">
        <f>((($H$134*0.33)*(0.12*'INSUMOS - QUANTIDADES'!$B$131)*'INSUMOS - PREÇOS'!F44)*'INSUMOS - QUANTIDADES'!$E$166)+($H$135*'INSUMOS - PREÇOS'!F47)</f>
        <v>0</v>
      </c>
      <c r="L135" s="62"/>
      <c r="M135" s="62"/>
    </row>
    <row r="136" spans="1:13" ht="18.75" customHeight="1">
      <c r="A136" s="12"/>
      <c r="B136" s="73"/>
      <c r="C136" s="73"/>
      <c r="D136" s="73"/>
      <c r="E136" s="74" t="s">
        <v>256</v>
      </c>
      <c r="F136" s="74" t="s">
        <v>159</v>
      </c>
      <c r="G136" s="76"/>
      <c r="H136" s="101">
        <f>'INSUMOS - QUANTIDADES'!$D$167</f>
        <v>0</v>
      </c>
      <c r="I136" s="85" t="s">
        <v>323</v>
      </c>
      <c r="J136" s="15">
        <f>((($H$134*0.33)*(0.12*'INSUMOS - QUANTIDADES'!$B$131)*'INSUMOS - PREÇOS'!F44)*'INSUMOS - QUANTIDADES'!$E$167)+($H$136*'INSUMOS - PREÇOS'!F48)</f>
        <v>0</v>
      </c>
      <c r="L136" s="62"/>
      <c r="M136" s="62"/>
    </row>
    <row r="137" spans="1:12" ht="18.75" customHeight="1">
      <c r="A137" s="12"/>
      <c r="B137" s="73"/>
      <c r="C137" s="73"/>
      <c r="D137" s="73"/>
      <c r="E137" s="74" t="s">
        <v>257</v>
      </c>
      <c r="F137" s="74" t="s">
        <v>160</v>
      </c>
      <c r="G137" s="76"/>
      <c r="H137" s="101">
        <f>'INSUMOS - QUANTIDADES'!$D$168</f>
        <v>0</v>
      </c>
      <c r="I137" s="85" t="s">
        <v>323</v>
      </c>
      <c r="J137" s="15">
        <f>((($H$134*0.33)*(0.12*'INSUMOS - QUANTIDADES'!$B$131)*'INSUMOS - PREÇOS'!F44)*'INSUMOS - QUANTIDADES'!$E$168)+($H$137*'INSUMOS - PREÇOS'!F49)</f>
        <v>0</v>
      </c>
      <c r="L137" s="116"/>
    </row>
    <row r="138" spans="1:10" ht="18.75" customHeight="1">
      <c r="A138" s="12"/>
      <c r="B138" s="73"/>
      <c r="C138" s="79" t="s">
        <v>325</v>
      </c>
      <c r="D138" s="79"/>
      <c r="E138" s="79"/>
      <c r="F138" s="79"/>
      <c r="G138" s="80"/>
      <c r="H138" s="75"/>
      <c r="I138" s="85"/>
      <c r="J138" s="84">
        <f>SUM(J114:J137)</f>
        <v>3535.8318</v>
      </c>
    </row>
    <row r="139" spans="1:10" ht="18.75" customHeight="1">
      <c r="A139" s="12"/>
      <c r="B139" s="73"/>
      <c r="C139" s="73"/>
      <c r="D139" s="103"/>
      <c r="E139" s="103"/>
      <c r="F139" s="103"/>
      <c r="G139" s="103"/>
      <c r="H139" s="105"/>
      <c r="I139" s="85"/>
      <c r="J139" s="15"/>
    </row>
    <row r="140" spans="1:10" ht="18.75" customHeight="1">
      <c r="A140" s="68"/>
      <c r="B140" s="69" t="s">
        <v>326</v>
      </c>
      <c r="C140" s="79" t="s">
        <v>327</v>
      </c>
      <c r="D140" s="79"/>
      <c r="E140" s="79"/>
      <c r="F140" s="79"/>
      <c r="G140" s="80"/>
      <c r="H140" s="105"/>
      <c r="I140" s="85"/>
      <c r="J140" s="15"/>
    </row>
    <row r="141" spans="1:12" ht="18.75" customHeight="1">
      <c r="A141" s="12"/>
      <c r="B141" s="73"/>
      <c r="C141" s="73" t="s">
        <v>196</v>
      </c>
      <c r="D141" s="103" t="s">
        <v>271</v>
      </c>
      <c r="E141" s="103"/>
      <c r="F141" s="103"/>
      <c r="G141" s="103"/>
      <c r="H141" s="117"/>
      <c r="I141" s="107" t="s">
        <v>180</v>
      </c>
      <c r="J141" s="15">
        <f>'INSUMOS - PREÇOS'!F76</f>
        <v>100</v>
      </c>
      <c r="L141" s="116"/>
    </row>
    <row r="142" spans="1:12" ht="18.75" customHeight="1">
      <c r="A142" s="12"/>
      <c r="B142" s="73"/>
      <c r="C142" s="73" t="s">
        <v>244</v>
      </c>
      <c r="D142" s="103" t="s">
        <v>272</v>
      </c>
      <c r="E142" s="103"/>
      <c r="F142" s="103"/>
      <c r="G142" s="104"/>
      <c r="H142" s="117"/>
      <c r="I142" s="107" t="s">
        <v>180</v>
      </c>
      <c r="J142" s="15">
        <f>'INSUMOS - PREÇOS'!F77</f>
        <v>0</v>
      </c>
      <c r="L142" s="116"/>
    </row>
    <row r="143" spans="1:10" ht="18.75" customHeight="1">
      <c r="A143" s="12"/>
      <c r="B143" s="73"/>
      <c r="C143" s="79" t="s">
        <v>328</v>
      </c>
      <c r="D143" s="79"/>
      <c r="E143" s="79"/>
      <c r="F143" s="79"/>
      <c r="G143" s="80"/>
      <c r="H143" s="105"/>
      <c r="I143" s="113"/>
      <c r="J143" s="84">
        <f>SUM(J141:J142)</f>
        <v>100</v>
      </c>
    </row>
    <row r="144" spans="1:10" ht="18.75" customHeight="1">
      <c r="A144" s="12"/>
      <c r="B144" s="69"/>
      <c r="C144" s="69"/>
      <c r="D144" s="79"/>
      <c r="E144" s="79"/>
      <c r="F144" s="79"/>
      <c r="G144" s="79"/>
      <c r="H144" s="105"/>
      <c r="I144" s="113"/>
      <c r="J144" s="84"/>
    </row>
    <row r="145" spans="1:10" ht="18.75" customHeight="1">
      <c r="A145" s="12"/>
      <c r="B145" s="98" t="s">
        <v>329</v>
      </c>
      <c r="C145" s="98"/>
      <c r="D145" s="98"/>
      <c r="E145" s="98"/>
      <c r="F145" s="98"/>
      <c r="G145" s="98"/>
      <c r="H145" s="105"/>
      <c r="I145" s="113"/>
      <c r="J145" s="84">
        <f>SUM(J84,J89,J110,J138,J143)</f>
        <v>19609.601466666667</v>
      </c>
    </row>
    <row r="146" spans="1:10" ht="18.75" customHeight="1">
      <c r="A146" s="6" t="s">
        <v>330</v>
      </c>
      <c r="B146" s="66" t="s">
        <v>331</v>
      </c>
      <c r="C146" s="66"/>
      <c r="D146" s="66"/>
      <c r="E146" s="66"/>
      <c r="F146" s="66"/>
      <c r="G146" s="66"/>
      <c r="H146" s="67"/>
      <c r="I146" s="4"/>
      <c r="J146" s="124">
        <f>SUM(J69,J145)</f>
        <v>96641.84742762666</v>
      </c>
    </row>
    <row r="147" spans="1:10" ht="18.75" customHeight="1">
      <c r="A147" s="68"/>
      <c r="B147" s="69" t="s">
        <v>332</v>
      </c>
      <c r="C147" s="79" t="s">
        <v>333</v>
      </c>
      <c r="D147" s="79"/>
      <c r="E147" s="79"/>
      <c r="F147" s="79"/>
      <c r="G147" s="79"/>
      <c r="H147" s="72"/>
      <c r="I147" s="83"/>
      <c r="J147" s="84"/>
    </row>
    <row r="148" spans="1:10" ht="18.75" customHeight="1">
      <c r="A148" s="12"/>
      <c r="B148" s="73"/>
      <c r="C148" s="73" t="s">
        <v>196</v>
      </c>
      <c r="D148" s="74" t="s">
        <v>334</v>
      </c>
      <c r="E148" s="74"/>
      <c r="F148" s="74"/>
      <c r="G148" s="76"/>
      <c r="H148" s="75"/>
      <c r="I148" s="85"/>
      <c r="J148" s="15"/>
    </row>
    <row r="149" spans="1:10" ht="18.75" customHeight="1">
      <c r="A149" s="12"/>
      <c r="B149" s="73"/>
      <c r="C149" s="73"/>
      <c r="D149" s="74" t="s">
        <v>199</v>
      </c>
      <c r="E149" s="74" t="s">
        <v>335</v>
      </c>
      <c r="F149" s="74"/>
      <c r="G149" s="76"/>
      <c r="H149" s="75"/>
      <c r="I149" s="85"/>
      <c r="J149" s="15">
        <f>(($H$93*'INSUMOS - PREÇOS'!F12)*'INSUMOS - PREÇOS'!F78)</f>
        <v>4101.204554999999</v>
      </c>
    </row>
    <row r="150" spans="1:10" ht="18.75" customHeight="1">
      <c r="A150" s="12"/>
      <c r="B150" s="73"/>
      <c r="C150" s="73"/>
      <c r="D150" s="118" t="s">
        <v>222</v>
      </c>
      <c r="E150" s="74" t="s">
        <v>336</v>
      </c>
      <c r="F150" s="74"/>
      <c r="G150" s="76"/>
      <c r="H150" s="75"/>
      <c r="I150" s="85"/>
      <c r="J150" s="15">
        <f>(($H$94*'INSUMOS - PREÇOS'!F13)*'INSUMOS - PREÇOS'!F78)</f>
        <v>0</v>
      </c>
    </row>
    <row r="151" spans="1:10" ht="18.75" customHeight="1">
      <c r="A151" s="12"/>
      <c r="B151" s="73"/>
      <c r="C151" s="73"/>
      <c r="D151" s="118" t="s">
        <v>234</v>
      </c>
      <c r="E151" s="74" t="s">
        <v>337</v>
      </c>
      <c r="F151" s="74"/>
      <c r="G151" s="76"/>
      <c r="H151" s="105"/>
      <c r="I151" s="113"/>
      <c r="J151" s="15">
        <f>(SUM('INSUMOS - PREÇOS'!F15:F26))*'INSUMOS - PREÇOS'!F78</f>
        <v>1734.6201250000001</v>
      </c>
    </row>
    <row r="152" spans="1:13" s="63" customFormat="1" ht="18.75" customHeight="1">
      <c r="A152" s="12"/>
      <c r="B152" s="73"/>
      <c r="C152" s="73"/>
      <c r="D152" s="63" t="s">
        <v>279</v>
      </c>
      <c r="E152" s="74" t="s">
        <v>338</v>
      </c>
      <c r="F152" s="74"/>
      <c r="G152" s="76"/>
      <c r="H152" s="75"/>
      <c r="I152" s="125"/>
      <c r="J152" s="15">
        <f>(('INSUMOS - PREÇOS'!F29*$M$12)*'INSUMOS - PREÇOS'!F78)</f>
        <v>401.84250000000003</v>
      </c>
      <c r="L152" s="1"/>
      <c r="M152" s="1"/>
    </row>
    <row r="153" spans="1:13" s="63" customFormat="1" ht="18.75" customHeight="1">
      <c r="A153" s="12"/>
      <c r="B153" s="73"/>
      <c r="C153" s="73"/>
      <c r="D153" s="63" t="s">
        <v>280</v>
      </c>
      <c r="E153" s="74" t="s">
        <v>339</v>
      </c>
      <c r="F153" s="74"/>
      <c r="G153" s="76"/>
      <c r="H153" s="75"/>
      <c r="I153" s="125"/>
      <c r="J153" s="15">
        <f>(('INSUMOS - PREÇOS'!F30*$M$14)*'INSUMOS - PREÇOS'!F78)</f>
        <v>0</v>
      </c>
      <c r="L153" s="116"/>
      <c r="M153" s="1"/>
    </row>
    <row r="154" spans="1:13" ht="18.75" customHeight="1">
      <c r="A154" s="12"/>
      <c r="B154" s="73"/>
      <c r="C154" s="73" t="s">
        <v>244</v>
      </c>
      <c r="D154" s="119" t="s">
        <v>340</v>
      </c>
      <c r="E154" s="119"/>
      <c r="F154" s="119"/>
      <c r="G154" s="120"/>
      <c r="H154" s="75"/>
      <c r="I154" s="125"/>
      <c r="J154" s="15">
        <f>$J$62*'INSUMOS - PREÇOS'!F79</f>
        <v>4095.1633063422764</v>
      </c>
      <c r="L154" s="63"/>
      <c r="M154" s="63"/>
    </row>
    <row r="155" spans="1:13" ht="18.75" customHeight="1">
      <c r="A155" s="12"/>
      <c r="B155" s="73"/>
      <c r="C155" s="73" t="s">
        <v>301</v>
      </c>
      <c r="D155" s="119" t="s">
        <v>341</v>
      </c>
      <c r="E155" s="119"/>
      <c r="F155" s="119"/>
      <c r="G155" s="119"/>
      <c r="H155" s="121">
        <f>H134</f>
        <v>0</v>
      </c>
      <c r="I155" s="125" t="s">
        <v>84</v>
      </c>
      <c r="J155" s="15">
        <f>($H$155*'INSUMOS - PREÇOS'!F71)</f>
        <v>0</v>
      </c>
      <c r="L155" s="63"/>
      <c r="M155" s="63"/>
    </row>
    <row r="156" spans="1:10" ht="18.75" customHeight="1">
      <c r="A156" s="12"/>
      <c r="B156" s="73"/>
      <c r="C156" s="79" t="s">
        <v>342</v>
      </c>
      <c r="D156" s="79"/>
      <c r="E156" s="79"/>
      <c r="F156" s="79"/>
      <c r="G156" s="80"/>
      <c r="H156" s="75"/>
      <c r="I156" s="125"/>
      <c r="J156" s="84">
        <f>SUM(J149:J155)</f>
        <v>10332.830486342276</v>
      </c>
    </row>
    <row r="157" spans="1:10" ht="18.75" customHeight="1">
      <c r="A157" s="12"/>
      <c r="B157" s="73"/>
      <c r="C157" s="98"/>
      <c r="D157" s="98"/>
      <c r="E157" s="98"/>
      <c r="F157" s="98"/>
      <c r="G157" s="98"/>
      <c r="H157" s="75"/>
      <c r="I157" s="125"/>
      <c r="J157" s="84"/>
    </row>
    <row r="158" spans="1:10" ht="18.75" customHeight="1">
      <c r="A158" s="6" t="s">
        <v>343</v>
      </c>
      <c r="B158" s="66" t="s">
        <v>344</v>
      </c>
      <c r="C158" s="66"/>
      <c r="D158" s="66"/>
      <c r="E158" s="66"/>
      <c r="F158" s="66"/>
      <c r="G158" s="66"/>
      <c r="H158" s="4"/>
      <c r="I158" s="4"/>
      <c r="J158" s="126">
        <f>SUM(J146,J156)</f>
        <v>106974.67791396895</v>
      </c>
    </row>
    <row r="159" spans="1:10" ht="18.75" customHeight="1">
      <c r="A159" s="122"/>
      <c r="B159" s="66" t="s">
        <v>345</v>
      </c>
      <c r="C159" s="66"/>
      <c r="D159" s="66"/>
      <c r="E159" s="66"/>
      <c r="F159" s="66"/>
      <c r="G159" s="66"/>
      <c r="H159" s="66"/>
      <c r="I159" s="66"/>
      <c r="J159" s="127">
        <f>J158/$M$13</f>
        <v>262.0386976140725</v>
      </c>
    </row>
    <row r="160" spans="1:10" ht="18.75" customHeight="1">
      <c r="A160" s="122"/>
      <c r="B160" s="66" t="s">
        <v>346</v>
      </c>
      <c r="C160" s="66"/>
      <c r="D160" s="66"/>
      <c r="E160" s="66"/>
      <c r="F160" s="66"/>
      <c r="G160" s="66"/>
      <c r="H160" s="66"/>
      <c r="I160" s="66"/>
      <c r="J160" s="127">
        <f>J158/($M$13*$M$21)</f>
        <v>6.550967440351813</v>
      </c>
    </row>
    <row r="161" spans="1:10" ht="18.75" customHeight="1">
      <c r="A161" s="122"/>
      <c r="B161" s="66" t="s">
        <v>347</v>
      </c>
      <c r="C161" s="66"/>
      <c r="D161" s="66"/>
      <c r="E161" s="66"/>
      <c r="F161" s="66"/>
      <c r="G161" s="66"/>
      <c r="H161" s="66"/>
      <c r="I161" s="66"/>
      <c r="J161" s="127">
        <f>(J160/$M$23)</f>
        <v>13.647848834066277</v>
      </c>
    </row>
    <row r="162" spans="2:7" ht="18.75" customHeight="1">
      <c r="B162" s="115"/>
      <c r="C162" s="115"/>
      <c r="D162" s="115"/>
      <c r="E162" s="115"/>
      <c r="F162" s="115"/>
      <c r="G162" s="115"/>
    </row>
    <row r="165" spans="9:10" ht="18.75" customHeight="1">
      <c r="I165" s="64"/>
      <c r="J165" s="128"/>
    </row>
    <row r="166" ht="18.75" customHeight="1">
      <c r="I166" s="64"/>
    </row>
  </sheetData>
  <sheetProtection password="D03F" sheet="1" objects="1" scenarios="1" selectLockedCells="1"/>
  <mergeCells count="131">
    <mergeCell ref="A7:J7"/>
    <mergeCell ref="B9:G9"/>
    <mergeCell ref="L9:M9"/>
    <mergeCell ref="C10:G10"/>
    <mergeCell ref="D11:G11"/>
    <mergeCell ref="E12:G12"/>
    <mergeCell ref="F13:G13"/>
    <mergeCell ref="F14:G14"/>
    <mergeCell ref="F20:G20"/>
    <mergeCell ref="F21:G21"/>
    <mergeCell ref="E22:G22"/>
    <mergeCell ref="F23:G23"/>
    <mergeCell ref="F24:G24"/>
    <mergeCell ref="F30:G30"/>
    <mergeCell ref="E31:G31"/>
    <mergeCell ref="F32:G32"/>
    <mergeCell ref="F33:G33"/>
    <mergeCell ref="F39:G39"/>
    <mergeCell ref="E40:G40"/>
    <mergeCell ref="D42:G42"/>
    <mergeCell ref="E43:G43"/>
    <mergeCell ref="F44:G44"/>
    <mergeCell ref="F45:G45"/>
    <mergeCell ref="F46:G46"/>
    <mergeCell ref="F47:G47"/>
    <mergeCell ref="E48:G48"/>
    <mergeCell ref="F49:G49"/>
    <mergeCell ref="F50:G50"/>
    <mergeCell ref="F51:G51"/>
    <mergeCell ref="F52:G52"/>
    <mergeCell ref="F53:G53"/>
    <mergeCell ref="E54:G54"/>
    <mergeCell ref="F55:G55"/>
    <mergeCell ref="F56:G56"/>
    <mergeCell ref="F57:G57"/>
    <mergeCell ref="F58:G58"/>
    <mergeCell ref="F59:G59"/>
    <mergeCell ref="E60:G60"/>
    <mergeCell ref="C62:G62"/>
    <mergeCell ref="C64:G64"/>
    <mergeCell ref="D65:G65"/>
    <mergeCell ref="D66:G66"/>
    <mergeCell ref="C67:G67"/>
    <mergeCell ref="B69:G69"/>
    <mergeCell ref="B70:G70"/>
    <mergeCell ref="C71:G71"/>
    <mergeCell ref="D72:G72"/>
    <mergeCell ref="E73:G73"/>
    <mergeCell ref="E74:G74"/>
    <mergeCell ref="E75:G75"/>
    <mergeCell ref="E76:G76"/>
    <mergeCell ref="E77:G77"/>
    <mergeCell ref="D78:G78"/>
    <mergeCell ref="E79:G79"/>
    <mergeCell ref="E80:G80"/>
    <mergeCell ref="E81:G81"/>
    <mergeCell ref="E82:G82"/>
    <mergeCell ref="E83:G83"/>
    <mergeCell ref="C84:G84"/>
    <mergeCell ref="C86:G86"/>
    <mergeCell ref="D87:G87"/>
    <mergeCell ref="D88:G88"/>
    <mergeCell ref="C89:G89"/>
    <mergeCell ref="C91:G91"/>
    <mergeCell ref="D92:G92"/>
    <mergeCell ref="E93:G93"/>
    <mergeCell ref="E94:G94"/>
    <mergeCell ref="D95:G95"/>
    <mergeCell ref="E96:G96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107:G107"/>
    <mergeCell ref="D108:G108"/>
    <mergeCell ref="D109:G109"/>
    <mergeCell ref="C110:G110"/>
    <mergeCell ref="C112:G112"/>
    <mergeCell ref="D113:G113"/>
    <mergeCell ref="E114:G114"/>
    <mergeCell ref="E115:G115"/>
    <mergeCell ref="E116:G116"/>
    <mergeCell ref="E117:G117"/>
    <mergeCell ref="E118:G118"/>
    <mergeCell ref="E119:G119"/>
    <mergeCell ref="E120:G120"/>
    <mergeCell ref="E121:G121"/>
    <mergeCell ref="E122:G122"/>
    <mergeCell ref="E123:G123"/>
    <mergeCell ref="E124:G124"/>
    <mergeCell ref="E125:G125"/>
    <mergeCell ref="D126:G126"/>
    <mergeCell ref="E127:G127"/>
    <mergeCell ref="E128:G128"/>
    <mergeCell ref="D129:G129"/>
    <mergeCell ref="E130:G130"/>
    <mergeCell ref="F131:G131"/>
    <mergeCell ref="F132:G132"/>
    <mergeCell ref="F133:G133"/>
    <mergeCell ref="E134:G134"/>
    <mergeCell ref="F135:G135"/>
    <mergeCell ref="F136:G136"/>
    <mergeCell ref="F137:G137"/>
    <mergeCell ref="C138:G138"/>
    <mergeCell ref="C140:G140"/>
    <mergeCell ref="D141:G141"/>
    <mergeCell ref="D142:G142"/>
    <mergeCell ref="C143:G143"/>
    <mergeCell ref="B145:G145"/>
    <mergeCell ref="B146:G146"/>
    <mergeCell ref="C147:G147"/>
    <mergeCell ref="D148:G148"/>
    <mergeCell ref="E149:G149"/>
    <mergeCell ref="E150:G150"/>
    <mergeCell ref="E151:G151"/>
    <mergeCell ref="E152:G152"/>
    <mergeCell ref="E153:G153"/>
    <mergeCell ref="D154:G154"/>
    <mergeCell ref="D155:G155"/>
    <mergeCell ref="C156:G156"/>
    <mergeCell ref="B158:G158"/>
    <mergeCell ref="B159:G159"/>
    <mergeCell ref="B160:G160"/>
    <mergeCell ref="B161:G161"/>
    <mergeCell ref="B162:G162"/>
  </mergeCells>
  <printOptions/>
  <pageMargins left="0.7" right="0.7" top="0.75" bottom="0.75" header="0.3" footer="0.3"/>
  <pageSetup horizontalDpi="600" verticalDpi="600" orientation="portrait" paperSize="9" scale="61"/>
  <rowBreaks count="2" manualBreakCount="2">
    <brk id="69" max="9" man="1"/>
    <brk id="145" max="9" man="1"/>
  </rowBreaks>
  <colBreaks count="1" manualBreakCount="1">
    <brk id="10" min="6" max="14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J7:L21"/>
  <sheetViews>
    <sheetView workbookViewId="0" topLeftCell="A1">
      <selection activeCell="A1" sqref="A1:IV16384"/>
    </sheetView>
  </sheetViews>
  <sheetFormatPr defaultColWidth="9.140625" defaultRowHeight="15"/>
  <cols>
    <col min="1" max="1" width="6.8515625" style="1" customWidth="1"/>
    <col min="2" max="9" width="9.140625" style="1" customWidth="1"/>
    <col min="10" max="12" width="24.7109375" style="1" customWidth="1"/>
    <col min="13" max="16384" width="9.140625" style="1" customWidth="1"/>
  </cols>
  <sheetData>
    <row r="1" ht="17.25"/>
    <row r="2" ht="17.25"/>
    <row r="3" ht="17.25"/>
    <row r="4" ht="17.25"/>
    <row r="5" ht="17.25"/>
    <row r="6" ht="17.25"/>
    <row r="7" spans="10:12" ht="18">
      <c r="J7" s="3" t="s">
        <v>348</v>
      </c>
      <c r="K7" s="4" t="s">
        <v>180</v>
      </c>
      <c r="L7" s="5" t="s">
        <v>349</v>
      </c>
    </row>
    <row r="8" spans="10:12" ht="17.25">
      <c r="J8" s="51" t="s">
        <v>350</v>
      </c>
      <c r="K8" s="52">
        <f>'CUSTOS ANUAIS'!J69</f>
        <v>77032.24596096</v>
      </c>
      <c r="L8" s="53">
        <f>(K8/'CUSTOS ANUAIS'!$J$158)</f>
        <v>0.720097947132038</v>
      </c>
    </row>
    <row r="9" spans="10:12" ht="17.25">
      <c r="J9" s="54" t="s">
        <v>351</v>
      </c>
      <c r="K9" s="55">
        <f>'CUSTOS ANUAIS'!J145</f>
        <v>19609.601466666667</v>
      </c>
      <c r="L9" s="53">
        <f>(K9/'CUSTOS ANUAIS'!$J$158)</f>
        <v>0.18331068481867344</v>
      </c>
    </row>
    <row r="10" spans="10:12" ht="18">
      <c r="J10" s="56" t="s">
        <v>352</v>
      </c>
      <c r="K10" s="57">
        <f>'CUSTOS ANUAIS'!J156</f>
        <v>10332.830486342276</v>
      </c>
      <c r="L10" s="58">
        <f>(K10/'CUSTOS ANUAIS'!$J$158)</f>
        <v>0.09659136804928857</v>
      </c>
    </row>
    <row r="12" spans="10:12" ht="18">
      <c r="J12" s="3" t="s">
        <v>353</v>
      </c>
      <c r="K12" s="4" t="s">
        <v>180</v>
      </c>
      <c r="L12" s="5" t="s">
        <v>354</v>
      </c>
    </row>
    <row r="13" spans="10:12" ht="17.25">
      <c r="J13" s="51" t="s">
        <v>197</v>
      </c>
      <c r="K13" s="52">
        <f>'CUSTOS ANUAIS'!J40</f>
        <v>74862.88191360001</v>
      </c>
      <c r="L13" s="59">
        <f aca="true" t="shared" si="0" ref="L13:L20">K13/$K$21</f>
        <v>0.6998187176016193</v>
      </c>
    </row>
    <row r="14" spans="10:12" ht="17.25">
      <c r="J14" s="54" t="s">
        <v>355</v>
      </c>
      <c r="K14" s="55">
        <f>'CUSTOS ANUAIS'!J84</f>
        <v>11040</v>
      </c>
      <c r="L14" s="53">
        <f t="shared" si="0"/>
        <v>0.10320199336219153</v>
      </c>
    </row>
    <row r="15" spans="10:12" ht="17.25">
      <c r="J15" s="54" t="s">
        <v>352</v>
      </c>
      <c r="K15" s="55">
        <f>'CUSTOS ANUAIS'!J156</f>
        <v>10332.830486342276</v>
      </c>
      <c r="L15" s="53">
        <f t="shared" si="0"/>
        <v>0.09659136804928857</v>
      </c>
    </row>
    <row r="16" spans="10:12" ht="17.25">
      <c r="J16" s="54" t="s">
        <v>356</v>
      </c>
      <c r="K16" s="55">
        <f>'CUSTOS ANUAIS'!J110</f>
        <v>4173.041666666667</v>
      </c>
      <c r="L16" s="53">
        <f t="shared" si="0"/>
        <v>0.03900962123038786</v>
      </c>
    </row>
    <row r="17" spans="10:12" ht="17.25">
      <c r="J17" s="54" t="s">
        <v>357</v>
      </c>
      <c r="K17" s="55">
        <f>'CUSTOS ANUAIS'!J138</f>
        <v>3535.8318</v>
      </c>
      <c r="L17" s="53">
        <f t="shared" si="0"/>
        <v>0.03305297916244798</v>
      </c>
    </row>
    <row r="18" spans="10:12" ht="17.25">
      <c r="J18" s="54" t="s">
        <v>358</v>
      </c>
      <c r="K18" s="55">
        <f>'CUSTOS ANUAIS'!J60</f>
        <v>1569.36404736</v>
      </c>
      <c r="L18" s="53">
        <f t="shared" si="0"/>
        <v>0.014670425543343186</v>
      </c>
    </row>
    <row r="19" spans="10:12" ht="17.25">
      <c r="J19" s="54" t="s">
        <v>359</v>
      </c>
      <c r="K19" s="55">
        <f>'CUSTOS ANUAIS'!J89</f>
        <v>760.7280000000001</v>
      </c>
      <c r="L19" s="53">
        <f t="shared" si="0"/>
        <v>0.007111290399133446</v>
      </c>
    </row>
    <row r="20" spans="10:12" ht="18">
      <c r="J20" s="54" t="s">
        <v>360</v>
      </c>
      <c r="K20" s="55">
        <f>('CUSTOS ANUAIS'!J67+'CUSTOS ANUAIS'!J143)</f>
        <v>700</v>
      </c>
      <c r="L20" s="58">
        <f t="shared" si="0"/>
        <v>0.006543604651588231</v>
      </c>
    </row>
    <row r="21" spans="10:12" ht="18">
      <c r="J21" s="6" t="s">
        <v>361</v>
      </c>
      <c r="K21" s="60">
        <f>'CUSTOS ANUAIS'!J158</f>
        <v>106974.67791396895</v>
      </c>
      <c r="L21" s="61">
        <f>SUM(L13:L20)</f>
        <v>1.0000000000000002</v>
      </c>
    </row>
  </sheetData>
  <sheetProtection password="D03F" sheet="1" objects="1" scenarios="1" selectLockedCells="1" selectUnlockedCells="1"/>
  <printOptions/>
  <pageMargins left="0.51" right="0.51" top="0.79" bottom="0.79" header="0.31" footer="0.31"/>
  <pageSetup horizontalDpi="600" verticalDpi="600" orientation="portrait" paperSize="9" scale="7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H34"/>
  <sheetViews>
    <sheetView tabSelected="1" workbookViewId="0" topLeftCell="A13">
      <selection activeCell="D17" sqref="D17"/>
    </sheetView>
  </sheetViews>
  <sheetFormatPr defaultColWidth="9.140625" defaultRowHeight="15"/>
  <cols>
    <col min="1" max="1" width="5.57421875" style="1" customWidth="1"/>
    <col min="2" max="2" width="28.00390625" style="1" customWidth="1"/>
    <col min="3" max="3" width="20.7109375" style="2" customWidth="1"/>
    <col min="4" max="5" width="23.7109375" style="2" customWidth="1"/>
    <col min="6" max="6" width="11.140625" style="1" customWidth="1"/>
    <col min="7" max="7" width="30.7109375" style="1" customWidth="1"/>
    <col min="8" max="8" width="25.7109375" style="1" customWidth="1"/>
    <col min="9" max="16384" width="9.140625" style="1" customWidth="1"/>
  </cols>
  <sheetData>
    <row r="1" ht="17.25"/>
    <row r="2" ht="17.25"/>
    <row r="3" ht="17.25"/>
    <row r="4" ht="17.25"/>
    <row r="5" ht="24" customHeight="1"/>
    <row r="6" spans="2:8" ht="18">
      <c r="B6" s="3" t="s">
        <v>362</v>
      </c>
      <c r="C6" s="4"/>
      <c r="D6" s="4"/>
      <c r="E6" s="5"/>
      <c r="G6" s="3" t="s">
        <v>363</v>
      </c>
      <c r="H6" s="5"/>
    </row>
    <row r="8" spans="2:8" ht="18" customHeight="1">
      <c r="B8" s="6" t="s">
        <v>364</v>
      </c>
      <c r="C8" s="4" t="s">
        <v>191</v>
      </c>
      <c r="D8" s="4" t="s">
        <v>365</v>
      </c>
      <c r="E8" s="5" t="s">
        <v>366</v>
      </c>
      <c r="G8" s="6" t="s">
        <v>364</v>
      </c>
      <c r="H8" s="5" t="s">
        <v>191</v>
      </c>
    </row>
    <row r="9" spans="2:8" ht="17.25">
      <c r="B9" s="7" t="s">
        <v>16</v>
      </c>
      <c r="C9" s="8"/>
      <c r="D9" s="8"/>
      <c r="E9" s="9"/>
      <c r="G9" s="10" t="s">
        <v>16</v>
      </c>
      <c r="H9" s="11"/>
    </row>
    <row r="10" spans="2:8" ht="17.25">
      <c r="B10" s="12" t="s">
        <v>367</v>
      </c>
      <c r="C10" s="13">
        <v>8164.8</v>
      </c>
      <c r="D10" s="14">
        <v>6.5</v>
      </c>
      <c r="E10" s="15">
        <f>C10*D10</f>
        <v>53071.200000000004</v>
      </c>
      <c r="G10" s="12" t="s">
        <v>368</v>
      </c>
      <c r="H10" s="16">
        <f>'CUSTOS ANUAIS'!M13/2</f>
        <v>204.11999999999998</v>
      </c>
    </row>
    <row r="11" spans="2:8" ht="17.25">
      <c r="B11" s="12" t="s">
        <v>369</v>
      </c>
      <c r="C11" s="13">
        <v>4</v>
      </c>
      <c r="D11" s="14">
        <v>400</v>
      </c>
      <c r="E11" s="15">
        <f aca="true" t="shared" si="0" ref="E11:E21">C11*D11</f>
        <v>1600</v>
      </c>
      <c r="G11" s="12" t="s">
        <v>370</v>
      </c>
      <c r="H11" s="17">
        <f>H10*'CUSTOS ANUAIS'!M21</f>
        <v>8164.799999999999</v>
      </c>
    </row>
    <row r="12" spans="2:8" ht="17.25">
      <c r="B12" s="10" t="s">
        <v>371</v>
      </c>
      <c r="C12" s="18"/>
      <c r="D12" s="19"/>
      <c r="E12" s="15"/>
      <c r="G12" s="12" t="s">
        <v>372</v>
      </c>
      <c r="H12" s="17">
        <f>H11*'CUSTOS ANUAIS'!M23</f>
        <v>3919.1039999999994</v>
      </c>
    </row>
    <row r="13" spans="2:8" ht="17.25">
      <c r="B13" s="12" t="s">
        <v>367</v>
      </c>
      <c r="C13" s="13">
        <v>10</v>
      </c>
      <c r="D13" s="14">
        <v>260</v>
      </c>
      <c r="E13" s="15">
        <f t="shared" si="0"/>
        <v>2600</v>
      </c>
      <c r="G13" s="10" t="s">
        <v>371</v>
      </c>
      <c r="H13" s="17"/>
    </row>
    <row r="14" spans="2:8" ht="17.25">
      <c r="B14" s="12" t="s">
        <v>369</v>
      </c>
      <c r="C14" s="13">
        <v>141</v>
      </c>
      <c r="D14" s="14">
        <v>450</v>
      </c>
      <c r="E14" s="15">
        <f t="shared" si="0"/>
        <v>63450</v>
      </c>
      <c r="G14" s="12" t="s">
        <v>373</v>
      </c>
      <c r="H14" s="16">
        <f>H10</f>
        <v>204.11999999999998</v>
      </c>
    </row>
    <row r="15" spans="2:8" ht="17.25">
      <c r="B15" s="12" t="s">
        <v>374</v>
      </c>
      <c r="C15" s="20">
        <f>'CUSTOS ANUAIS'!M14</f>
        <v>0</v>
      </c>
      <c r="D15" s="21">
        <f>'INSUMOS - PREÇOS'!E30</f>
        <v>0</v>
      </c>
      <c r="E15" s="15">
        <f t="shared" si="0"/>
        <v>0</v>
      </c>
      <c r="G15" s="12" t="s">
        <v>375</v>
      </c>
      <c r="H15" s="17">
        <f>H14*'CUSTOS ANUAIS'!M21</f>
        <v>8164.799999999999</v>
      </c>
    </row>
    <row r="16" spans="2:8" ht="17.25">
      <c r="B16" s="10" t="s">
        <v>31</v>
      </c>
      <c r="C16" s="18"/>
      <c r="D16" s="19"/>
      <c r="E16" s="15"/>
      <c r="G16" s="12" t="s">
        <v>376</v>
      </c>
      <c r="H16" s="17">
        <f>H15*'CUSTOS ANUAIS'!M23</f>
        <v>3919.1039999999994</v>
      </c>
    </row>
    <row r="17" spans="2:8" ht="18">
      <c r="B17" s="12" t="s">
        <v>369</v>
      </c>
      <c r="C17" s="13">
        <v>0</v>
      </c>
      <c r="D17" s="14">
        <v>200</v>
      </c>
      <c r="E17" s="15">
        <f t="shared" si="0"/>
        <v>0</v>
      </c>
      <c r="G17" s="22" t="s">
        <v>377</v>
      </c>
      <c r="H17" s="23">
        <f>'CUSTOS ANUAIS'!M15*'CUSTOS ANUAIS'!M11</f>
        <v>52.5</v>
      </c>
    </row>
    <row r="18" spans="2:5" ht="17.25">
      <c r="B18" s="12" t="s">
        <v>378</v>
      </c>
      <c r="C18" s="13">
        <v>53</v>
      </c>
      <c r="D18" s="14">
        <v>220</v>
      </c>
      <c r="E18" s="15">
        <f t="shared" si="0"/>
        <v>11660</v>
      </c>
    </row>
    <row r="19" spans="2:5" ht="17.25">
      <c r="B19" s="10" t="s">
        <v>379</v>
      </c>
      <c r="C19" s="18"/>
      <c r="D19" s="19"/>
      <c r="E19" s="15"/>
    </row>
    <row r="20" spans="2:5" ht="17.25">
      <c r="B20" s="12" t="s">
        <v>369</v>
      </c>
      <c r="C20" s="13">
        <v>1</v>
      </c>
      <c r="D20" s="14">
        <v>1000</v>
      </c>
      <c r="E20" s="15">
        <f t="shared" si="0"/>
        <v>1000</v>
      </c>
    </row>
    <row r="21" spans="2:5" ht="18">
      <c r="B21" s="24" t="s">
        <v>378</v>
      </c>
      <c r="C21" s="25">
        <v>0</v>
      </c>
      <c r="D21" s="26">
        <v>0</v>
      </c>
      <c r="E21" s="27">
        <f t="shared" si="0"/>
        <v>0</v>
      </c>
    </row>
    <row r="22" spans="2:5" ht="17.25">
      <c r="B22" s="28"/>
      <c r="C22" s="29"/>
      <c r="D22" s="30" t="s">
        <v>380</v>
      </c>
      <c r="E22" s="31">
        <f>SUM(E10:E21)</f>
        <v>133381.2</v>
      </c>
    </row>
    <row r="23" spans="2:5" ht="18">
      <c r="B23" s="32" t="s">
        <v>381</v>
      </c>
      <c r="C23" s="33"/>
      <c r="D23" s="33"/>
      <c r="E23" s="34">
        <f>E22/('CUSTOS ANUAIS'!M13*'CUSTOS ANUAIS'!M21)</f>
        <v>8.168062904174016</v>
      </c>
    </row>
    <row r="24" spans="7:8" ht="17.25">
      <c r="G24" s="1" t="s">
        <v>382</v>
      </c>
      <c r="H24" s="35">
        <f>(E21+E18)/E22</f>
        <v>0.08741861671659873</v>
      </c>
    </row>
    <row r="25" spans="7:8" ht="18">
      <c r="G25" s="1" t="s">
        <v>383</v>
      </c>
      <c r="H25" s="35">
        <f>(E10+E13)/E22</f>
        <v>0.4173841590868878</v>
      </c>
    </row>
    <row r="26" spans="2:8" ht="18">
      <c r="B26" s="36"/>
      <c r="C26" s="37"/>
      <c r="D26" s="37"/>
      <c r="E26" s="5" t="s">
        <v>384</v>
      </c>
      <c r="G26" s="1" t="s">
        <v>385</v>
      </c>
      <c r="H26" s="35">
        <f>(E11+E14+E17+E20)/E22</f>
        <v>0.4951972241965134</v>
      </c>
    </row>
    <row r="27" spans="2:5" ht="17.25">
      <c r="B27" s="38"/>
      <c r="C27" s="39"/>
      <c r="D27" s="39"/>
      <c r="E27" s="40"/>
    </row>
    <row r="28" spans="2:5" ht="17.25" customHeight="1">
      <c r="B28" s="41" t="s">
        <v>386</v>
      </c>
      <c r="C28" s="42"/>
      <c r="D28" s="42"/>
      <c r="E28" s="43">
        <f>(('CUSTOS ANUAIS'!J146/('CUSTOS ANUAIS'!M13*'CUSTOS ANUAIS'!M21)))</f>
        <v>5.918200533241884</v>
      </c>
    </row>
    <row r="29" spans="2:5" ht="17.25">
      <c r="B29" s="41" t="s">
        <v>387</v>
      </c>
      <c r="C29" s="42"/>
      <c r="D29" s="42"/>
      <c r="E29" s="43">
        <f>(('CUSTOS ANUAIS'!J156)/('CUSTOS ANUAIS'!M13*'CUSTOS ANUAIS'!M21))</f>
        <v>0.6327669071099278</v>
      </c>
    </row>
    <row r="30" spans="2:5" ht="17.25">
      <c r="B30" s="41" t="s">
        <v>388</v>
      </c>
      <c r="C30" s="42"/>
      <c r="D30" s="42"/>
      <c r="E30" s="43">
        <f>SUM(E28:E29)</f>
        <v>6.550967440351812</v>
      </c>
    </row>
    <row r="31" spans="2:5" ht="17.25">
      <c r="B31" s="41" t="s">
        <v>389</v>
      </c>
      <c r="C31" s="42"/>
      <c r="D31" s="42"/>
      <c r="E31" s="43">
        <f>(LUCRATIVIDADE!E22-'CUSTOS ANUAIS'!J158)/('CUSTOS ANUAIS'!M13*'CUSTOS ANUAIS'!M21)</f>
        <v>1.6170954638222044</v>
      </c>
    </row>
    <row r="32" spans="2:6" ht="18">
      <c r="B32" s="44"/>
      <c r="C32" s="45"/>
      <c r="D32" s="45"/>
      <c r="E32" s="46"/>
      <c r="F32" s="47"/>
    </row>
    <row r="33" spans="2:6" ht="18">
      <c r="B33" s="48" t="s">
        <v>390</v>
      </c>
      <c r="C33" s="49"/>
      <c r="D33" s="49"/>
      <c r="E33" s="50">
        <f>E31+E29</f>
        <v>2.2498623709321324</v>
      </c>
      <c r="F33" s="47"/>
    </row>
    <row r="34" spans="2:7" ht="18">
      <c r="B34" s="48" t="s">
        <v>391</v>
      </c>
      <c r="C34" s="49"/>
      <c r="D34" s="49"/>
      <c r="E34" s="50">
        <f>$E$33*'CUSTOS ANUAIS'!$M$21*'CUSTOS ANUAIS'!$M$13</f>
        <v>36739.35257237334</v>
      </c>
      <c r="G34" s="47"/>
    </row>
  </sheetData>
  <sheetProtection password="D03F" sheet="1" objects="1" scenarios="1" selectLockedCells="1"/>
  <mergeCells count="5">
    <mergeCell ref="B6:E6"/>
    <mergeCell ref="G6:H6"/>
    <mergeCell ref="B23:D23"/>
    <mergeCell ref="B33:D33"/>
    <mergeCell ref="B34:D34"/>
  </mergeCells>
  <printOptions/>
  <pageMargins left="0.51" right="0.51" top="0.79" bottom="0.79" header="0.31" footer="0.31"/>
  <pageSetup horizontalDpi="600" verticalDpi="600" orientation="portrait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cp:lastPrinted>2012-09-08T17:33:15Z</cp:lastPrinted>
  <dcterms:created xsi:type="dcterms:W3CDTF">2012-02-08T10:51:58Z</dcterms:created>
  <dcterms:modified xsi:type="dcterms:W3CDTF">2017-08-15T22:31:51Z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1033-10.2.0.5908</vt:lpwstr>
  </property>
</Properties>
</file>